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240" windowWidth="21600" windowHeight="9495" tabRatio="794" activeTab="7"/>
  </bookViews>
  <sheets>
    <sheet name="Оплата труда" sheetId="1" r:id="rId1"/>
    <sheet name="Материальные запасы" sheetId="2" r:id="rId2"/>
    <sheet name="Иные нормативные затраты" sheetId="3" r:id="rId3"/>
    <sheet name="ПРЯМЫЕ ЗАТРАТЫ" sheetId="4" r:id="rId4"/>
    <sheet name="Плановые затраты ОХН" sheetId="5" r:id="rId5"/>
    <sheet name="Общее полезное время" sheetId="9" r:id="rId6"/>
    <sheet name="ОХН РАСЧЕТ" sheetId="7" r:id="rId7"/>
    <sheet name="НОРМАТИВ" sheetId="8" r:id="rId8"/>
    <sheet name="НОРМЫ" sheetId="10" r:id="rId9"/>
  </sheets>
  <calcPr calcId="145621"/>
</workbook>
</file>

<file path=xl/calcChain.xml><?xml version="1.0" encoding="utf-8"?>
<calcChain xmlns="http://schemas.openxmlformats.org/spreadsheetml/2006/main">
  <c r="C49" i="5" l="1"/>
  <c r="E7" i="7" l="1"/>
  <c r="F3" i="9" l="1"/>
  <c r="B7" i="7" l="1"/>
  <c r="F7" i="7" s="1"/>
  <c r="C7" i="7"/>
  <c r="B8" i="7"/>
  <c r="E8" i="7" s="1"/>
  <c r="F8" i="7" s="1"/>
  <c r="C8" i="7"/>
  <c r="B9" i="7"/>
  <c r="E9" i="7" s="1"/>
  <c r="F9" i="7" s="1"/>
  <c r="C9" i="7"/>
  <c r="B10" i="7"/>
  <c r="E10" i="7" s="1"/>
  <c r="F10" i="7" s="1"/>
  <c r="C10" i="7"/>
  <c r="E3" i="9"/>
  <c r="K7" i="8"/>
  <c r="K6" i="8"/>
  <c r="K5" i="8"/>
  <c r="K4" i="8"/>
  <c r="D6" i="9"/>
  <c r="D5" i="9"/>
  <c r="D4" i="9"/>
  <c r="D3" i="9"/>
  <c r="E5" i="4" l="1"/>
  <c r="H5" i="4"/>
  <c r="C6" i="4"/>
  <c r="D6" i="4"/>
  <c r="E6" i="4"/>
  <c r="H6" i="4"/>
  <c r="H7" i="4"/>
  <c r="D13" i="4"/>
  <c r="E13" i="4"/>
  <c r="H13" i="4"/>
  <c r="D14" i="4"/>
  <c r="E14" i="4"/>
  <c r="H14" i="4"/>
  <c r="D15" i="4"/>
  <c r="E15" i="4"/>
  <c r="H15" i="4"/>
  <c r="D16" i="4"/>
  <c r="E16" i="4"/>
  <c r="H16" i="4"/>
  <c r="D18" i="4"/>
  <c r="E18" i="4"/>
  <c r="H18" i="4"/>
  <c r="D19" i="4"/>
  <c r="E19" i="4"/>
  <c r="H19" i="4"/>
  <c r="D20" i="4"/>
  <c r="E20" i="4"/>
  <c r="H20" i="4"/>
  <c r="E22" i="4"/>
  <c r="H22" i="4"/>
  <c r="E23" i="4"/>
  <c r="H23" i="4"/>
  <c r="E24" i="4"/>
  <c r="H24" i="4"/>
  <c r="E26" i="4"/>
  <c r="H26" i="4"/>
  <c r="E27" i="4"/>
  <c r="H27" i="4"/>
  <c r="E28" i="4"/>
  <c r="H28" i="4"/>
  <c r="E29" i="4"/>
  <c r="H29" i="4"/>
  <c r="E30" i="4"/>
  <c r="H30" i="4"/>
  <c r="E31" i="4"/>
  <c r="H31" i="4"/>
  <c r="E32" i="4"/>
  <c r="H32" i="4"/>
  <c r="E33" i="4"/>
  <c r="H33" i="4"/>
  <c r="E34" i="4"/>
  <c r="H34" i="4"/>
  <c r="E35" i="4"/>
  <c r="H35" i="4"/>
  <c r="E36" i="4"/>
  <c r="H36" i="4"/>
  <c r="E37" i="4"/>
  <c r="H37" i="4"/>
  <c r="E38" i="4"/>
  <c r="H38" i="4"/>
  <c r="E39" i="4"/>
  <c r="H39" i="4"/>
  <c r="E40" i="4"/>
  <c r="H40" i="4"/>
  <c r="H41" i="4"/>
  <c r="E46" i="4"/>
  <c r="H46" i="4"/>
  <c r="E47" i="4"/>
  <c r="H47" i="4"/>
  <c r="E48" i="4"/>
  <c r="H48" i="4"/>
  <c r="H49" i="4"/>
  <c r="J6" i="4"/>
  <c r="K6" i="4"/>
  <c r="L6" i="4"/>
  <c r="O6" i="4"/>
  <c r="L5" i="4"/>
  <c r="O5" i="4"/>
  <c r="O7" i="4"/>
  <c r="O54" i="4"/>
  <c r="K13" i="4"/>
  <c r="L13" i="4"/>
  <c r="O13" i="4"/>
  <c r="K14" i="4"/>
  <c r="L14" i="4"/>
  <c r="O14" i="4"/>
  <c r="K15" i="4"/>
  <c r="L15" i="4"/>
  <c r="O15" i="4"/>
  <c r="K16" i="4"/>
  <c r="L16" i="4"/>
  <c r="O16" i="4"/>
  <c r="K18" i="4"/>
  <c r="L18" i="4"/>
  <c r="O18" i="4"/>
  <c r="K19" i="4"/>
  <c r="L19" i="4"/>
  <c r="O19" i="4"/>
  <c r="K20" i="4"/>
  <c r="L20" i="4"/>
  <c r="O20" i="4"/>
  <c r="L22" i="4"/>
  <c r="O22" i="4"/>
  <c r="L23" i="4"/>
  <c r="O23" i="4"/>
  <c r="L24" i="4"/>
  <c r="O24" i="4"/>
  <c r="L26" i="4"/>
  <c r="O26" i="4"/>
  <c r="L27" i="4"/>
  <c r="O27" i="4"/>
  <c r="L28" i="4"/>
  <c r="O28" i="4"/>
  <c r="L29" i="4"/>
  <c r="O29" i="4"/>
  <c r="L30" i="4"/>
  <c r="O30" i="4"/>
  <c r="L31" i="4"/>
  <c r="O31" i="4"/>
  <c r="L32" i="4"/>
  <c r="O32" i="4"/>
  <c r="L33" i="4"/>
  <c r="O33" i="4"/>
  <c r="L34" i="4"/>
  <c r="O34" i="4"/>
  <c r="L35" i="4"/>
  <c r="O35" i="4"/>
  <c r="L36" i="4"/>
  <c r="O36" i="4"/>
  <c r="L37" i="4"/>
  <c r="O37" i="4"/>
  <c r="L38" i="4"/>
  <c r="O38" i="4"/>
  <c r="L39" i="4"/>
  <c r="O39" i="4"/>
  <c r="L40" i="4"/>
  <c r="O40" i="4"/>
  <c r="O41" i="4"/>
  <c r="O53" i="4"/>
  <c r="L46" i="4"/>
  <c r="O46" i="4"/>
  <c r="L47" i="4"/>
  <c r="O47" i="4"/>
  <c r="L48" i="4"/>
  <c r="O48" i="4"/>
  <c r="O49" i="4"/>
  <c r="O52" i="4"/>
  <c r="R6" i="4"/>
  <c r="S6" i="4"/>
  <c r="V6" i="4"/>
  <c r="S5" i="4"/>
  <c r="V5" i="4"/>
  <c r="V7" i="4"/>
  <c r="V54" i="4"/>
  <c r="R13" i="4"/>
  <c r="S13" i="4"/>
  <c r="V13" i="4"/>
  <c r="R14" i="4"/>
  <c r="S14" i="4"/>
  <c r="V14" i="4"/>
  <c r="R15" i="4"/>
  <c r="S15" i="4"/>
  <c r="V15" i="4"/>
  <c r="R16" i="4"/>
  <c r="S16" i="4"/>
  <c r="V16" i="4"/>
  <c r="R18" i="4"/>
  <c r="S18" i="4"/>
  <c r="V18" i="4"/>
  <c r="R19" i="4"/>
  <c r="S19" i="4"/>
  <c r="V19" i="4"/>
  <c r="R20" i="4"/>
  <c r="S20" i="4"/>
  <c r="V20" i="4"/>
  <c r="S22" i="4"/>
  <c r="V22" i="4"/>
  <c r="S23" i="4"/>
  <c r="V23" i="4"/>
  <c r="S24" i="4"/>
  <c r="V24" i="4"/>
  <c r="S26" i="4"/>
  <c r="V26" i="4"/>
  <c r="S27" i="4"/>
  <c r="V27" i="4"/>
  <c r="S28" i="4"/>
  <c r="V28" i="4"/>
  <c r="S29" i="4"/>
  <c r="V29" i="4"/>
  <c r="S30" i="4"/>
  <c r="V30" i="4"/>
  <c r="S31" i="4"/>
  <c r="V31" i="4"/>
  <c r="S32" i="4"/>
  <c r="V32" i="4"/>
  <c r="S33" i="4"/>
  <c r="V33" i="4"/>
  <c r="S34" i="4"/>
  <c r="V34" i="4"/>
  <c r="S35" i="4"/>
  <c r="V35" i="4"/>
  <c r="S36" i="4"/>
  <c r="V36" i="4"/>
  <c r="S37" i="4"/>
  <c r="V37" i="4"/>
  <c r="S38" i="4"/>
  <c r="V38" i="4"/>
  <c r="S39" i="4"/>
  <c r="V39" i="4"/>
  <c r="S40" i="4"/>
  <c r="V40" i="4"/>
  <c r="V41" i="4"/>
  <c r="V53" i="4"/>
  <c r="S46" i="4"/>
  <c r="V46" i="4"/>
  <c r="S47" i="4"/>
  <c r="V47" i="4"/>
  <c r="S48" i="4"/>
  <c r="V48" i="4"/>
  <c r="V49" i="4"/>
  <c r="V52" i="4"/>
  <c r="Y6" i="4"/>
  <c r="Z6" i="4"/>
  <c r="AC6" i="4"/>
  <c r="Z5" i="4"/>
  <c r="AC5" i="4"/>
  <c r="AC7" i="4"/>
  <c r="AC54" i="4"/>
  <c r="Y13" i="4"/>
  <c r="Z13" i="4"/>
  <c r="AC13" i="4"/>
  <c r="Y14" i="4"/>
  <c r="Z14" i="4"/>
  <c r="AC14" i="4"/>
  <c r="Y15" i="4"/>
  <c r="Z15" i="4"/>
  <c r="AC15" i="4"/>
  <c r="Y16" i="4"/>
  <c r="Z16" i="4"/>
  <c r="AC16" i="4"/>
  <c r="Y18" i="4"/>
  <c r="Z18" i="4"/>
  <c r="AC18" i="4"/>
  <c r="Y19" i="4"/>
  <c r="Z19" i="4"/>
  <c r="AC19" i="4"/>
  <c r="Y20" i="4"/>
  <c r="Z20" i="4"/>
  <c r="AC20" i="4"/>
  <c r="Z22" i="4"/>
  <c r="AC22" i="4"/>
  <c r="Z23" i="4"/>
  <c r="AC23" i="4"/>
  <c r="Z24" i="4"/>
  <c r="AC24" i="4"/>
  <c r="Z26" i="4"/>
  <c r="AC26" i="4"/>
  <c r="Z27" i="4"/>
  <c r="AC27" i="4"/>
  <c r="Z28" i="4"/>
  <c r="AC28" i="4"/>
  <c r="Z29" i="4"/>
  <c r="AC29" i="4"/>
  <c r="Z30" i="4"/>
  <c r="AC30" i="4"/>
  <c r="Z31" i="4"/>
  <c r="AC31" i="4"/>
  <c r="Z32" i="4"/>
  <c r="AC32" i="4"/>
  <c r="Z33" i="4"/>
  <c r="AC33" i="4"/>
  <c r="Z34" i="4"/>
  <c r="AC34" i="4"/>
  <c r="Z35" i="4"/>
  <c r="AC35" i="4"/>
  <c r="Z36" i="4"/>
  <c r="AC36" i="4"/>
  <c r="Z37" i="4"/>
  <c r="AC37" i="4"/>
  <c r="Z38" i="4"/>
  <c r="AC38" i="4"/>
  <c r="Z39" i="4"/>
  <c r="AC39" i="4"/>
  <c r="Z40" i="4"/>
  <c r="AC40" i="4"/>
  <c r="AC41" i="4"/>
  <c r="AC53" i="4"/>
  <c r="Z46" i="4"/>
  <c r="AC46" i="4"/>
  <c r="Z47" i="4"/>
  <c r="AC47" i="4"/>
  <c r="Z48" i="4"/>
  <c r="AC48" i="4"/>
  <c r="AC49" i="4"/>
  <c r="AC52" i="4"/>
  <c r="L4" i="8"/>
  <c r="L5" i="8"/>
  <c r="AC50" i="4"/>
  <c r="V50" i="4"/>
  <c r="O50" i="4"/>
  <c r="B3" i="9"/>
  <c r="C3" i="9"/>
  <c r="D49" i="5"/>
  <c r="E49" i="5"/>
  <c r="E57" i="5" s="1"/>
  <c r="B6" i="9"/>
  <c r="B5" i="9"/>
  <c r="B4" i="9"/>
  <c r="X5" i="4"/>
  <c r="Q5" i="4"/>
  <c r="AB6" i="4"/>
  <c r="AB5" i="4"/>
  <c r="U6" i="4"/>
  <c r="U5" i="4"/>
  <c r="N6" i="4"/>
  <c r="N5" i="4"/>
  <c r="J5" i="4"/>
  <c r="H50" i="4"/>
  <c r="C5" i="4"/>
  <c r="G5" i="4"/>
  <c r="G6" i="4"/>
  <c r="A6" i="4"/>
  <c r="D4" i="1"/>
  <c r="C3" i="1"/>
  <c r="D3" i="1"/>
  <c r="E5" i="5"/>
  <c r="E4" i="5"/>
  <c r="A30" i="10"/>
  <c r="E30" i="10"/>
  <c r="H30" i="10"/>
  <c r="K30" i="10"/>
  <c r="N30" i="10"/>
  <c r="A31" i="10"/>
  <c r="E31" i="10"/>
  <c r="H31" i="10"/>
  <c r="K31" i="10"/>
  <c r="N31" i="10"/>
  <c r="A32" i="10"/>
  <c r="E32" i="10"/>
  <c r="H32" i="10"/>
  <c r="K32" i="10"/>
  <c r="N32" i="10"/>
  <c r="B31" i="2"/>
  <c r="C30" i="10"/>
  <c r="F31" i="2"/>
  <c r="F30" i="10"/>
  <c r="J31" i="2"/>
  <c r="I30" i="10"/>
  <c r="N31" i="2"/>
  <c r="R31" i="2"/>
  <c r="O30" i="10"/>
  <c r="B32" i="2"/>
  <c r="C31" i="10"/>
  <c r="F32" i="2"/>
  <c r="F31" i="10"/>
  <c r="J32" i="2"/>
  <c r="I31" i="10"/>
  <c r="N32" i="2"/>
  <c r="R32" i="2"/>
  <c r="O31" i="10"/>
  <c r="B33" i="2"/>
  <c r="C32" i="10"/>
  <c r="F33" i="2"/>
  <c r="F32" i="10"/>
  <c r="J33" i="2"/>
  <c r="I32" i="10"/>
  <c r="N33" i="2"/>
  <c r="L32" i="10"/>
  <c r="R33" i="2"/>
  <c r="AE40" i="4"/>
  <c r="M3" i="1"/>
  <c r="P3" i="1"/>
  <c r="J3" i="1"/>
  <c r="G3" i="1"/>
  <c r="G4" i="1"/>
  <c r="E45" i="5"/>
  <c r="E44" i="5"/>
  <c r="E43" i="5"/>
  <c r="E42" i="5"/>
  <c r="E38" i="5"/>
  <c r="E37" i="5"/>
  <c r="E36" i="5"/>
  <c r="E35" i="5"/>
  <c r="E34" i="5"/>
  <c r="E31" i="5"/>
  <c r="E30" i="5"/>
  <c r="E29" i="5"/>
  <c r="E28" i="5"/>
  <c r="E27" i="5"/>
  <c r="E26" i="5"/>
  <c r="E25" i="5"/>
  <c r="E24" i="5"/>
  <c r="D23" i="5"/>
  <c r="E23" i="5"/>
  <c r="E20" i="5"/>
  <c r="E19" i="5"/>
  <c r="E18" i="5"/>
  <c r="E17" i="5"/>
  <c r="E15" i="5"/>
  <c r="E14" i="5"/>
  <c r="E13" i="5"/>
  <c r="E12" i="5"/>
  <c r="E11" i="5"/>
  <c r="E21" i="5"/>
  <c r="E7" i="5"/>
  <c r="E6" i="5"/>
  <c r="L31" i="10"/>
  <c r="O32" i="10"/>
  <c r="L30" i="10"/>
  <c r="E9" i="5"/>
  <c r="E32" i="5"/>
  <c r="E40" i="5"/>
  <c r="E47" i="5"/>
  <c r="AE39" i="4"/>
  <c r="AE38" i="4"/>
  <c r="AG40" i="4"/>
  <c r="AH40" i="4"/>
  <c r="AG39" i="4"/>
  <c r="AH39" i="4"/>
  <c r="AG38" i="4"/>
  <c r="AH38" i="4"/>
  <c r="A18" i="10"/>
  <c r="E18" i="10"/>
  <c r="H18" i="10"/>
  <c r="K18" i="10"/>
  <c r="N18" i="10"/>
  <c r="A19" i="10"/>
  <c r="E19" i="10"/>
  <c r="H19" i="10"/>
  <c r="K19" i="10"/>
  <c r="N19" i="10"/>
  <c r="A20" i="10"/>
  <c r="E20" i="10"/>
  <c r="H20" i="10"/>
  <c r="K20" i="10"/>
  <c r="N20" i="10"/>
  <c r="A21" i="10"/>
  <c r="E21" i="10"/>
  <c r="H21" i="10"/>
  <c r="K21" i="10"/>
  <c r="N21" i="10"/>
  <c r="A22" i="10"/>
  <c r="E22" i="10"/>
  <c r="H22" i="10"/>
  <c r="K22" i="10"/>
  <c r="N22" i="10"/>
  <c r="A23" i="10"/>
  <c r="E23" i="10"/>
  <c r="H23" i="10"/>
  <c r="K23" i="10"/>
  <c r="N23" i="10"/>
  <c r="A24" i="10"/>
  <c r="E24" i="10"/>
  <c r="H24" i="10"/>
  <c r="K24" i="10"/>
  <c r="N24" i="10"/>
  <c r="A25" i="10"/>
  <c r="E25" i="10"/>
  <c r="H25" i="10"/>
  <c r="K25" i="10"/>
  <c r="N25" i="10"/>
  <c r="A26" i="10"/>
  <c r="E26" i="10"/>
  <c r="H26" i="10"/>
  <c r="K26" i="10"/>
  <c r="N26" i="10"/>
  <c r="A27" i="10"/>
  <c r="E27" i="10"/>
  <c r="H27" i="10"/>
  <c r="K27" i="10"/>
  <c r="N27" i="10"/>
  <c r="A28" i="10"/>
  <c r="E28" i="10"/>
  <c r="H28" i="10"/>
  <c r="K28" i="10"/>
  <c r="N28" i="10"/>
  <c r="A29" i="10"/>
  <c r="E29" i="10"/>
  <c r="H29" i="10"/>
  <c r="K29" i="10"/>
  <c r="N29" i="10"/>
  <c r="B22" i="2"/>
  <c r="F22" i="2"/>
  <c r="F21" i="10"/>
  <c r="J22" i="2"/>
  <c r="I21" i="10"/>
  <c r="N22" i="2"/>
  <c r="R22" i="2"/>
  <c r="O21" i="10"/>
  <c r="B23" i="2"/>
  <c r="C22" i="10"/>
  <c r="F23" i="2"/>
  <c r="J23" i="2"/>
  <c r="N23" i="2"/>
  <c r="L22" i="10"/>
  <c r="R23" i="2"/>
  <c r="B24" i="2"/>
  <c r="F24" i="2"/>
  <c r="F23" i="10"/>
  <c r="J24" i="2"/>
  <c r="I23" i="10"/>
  <c r="N24" i="2"/>
  <c r="R24" i="2"/>
  <c r="O23" i="10"/>
  <c r="B25" i="2"/>
  <c r="F25" i="2"/>
  <c r="F24" i="10"/>
  <c r="J25" i="2"/>
  <c r="I24" i="10"/>
  <c r="N25" i="2"/>
  <c r="R25" i="2"/>
  <c r="O24" i="10"/>
  <c r="B26" i="2"/>
  <c r="C25" i="10"/>
  <c r="F26" i="2"/>
  <c r="F25" i="10"/>
  <c r="J26" i="2"/>
  <c r="I25" i="10"/>
  <c r="N26" i="2"/>
  <c r="R26" i="2"/>
  <c r="O25" i="10"/>
  <c r="B27" i="2"/>
  <c r="C26" i="10"/>
  <c r="F27" i="2"/>
  <c r="J27" i="2"/>
  <c r="N27" i="2"/>
  <c r="L26" i="10"/>
  <c r="R27" i="2"/>
  <c r="B28" i="2"/>
  <c r="F28" i="2"/>
  <c r="J28" i="2"/>
  <c r="N28" i="2"/>
  <c r="L27" i="10"/>
  <c r="R28" i="2"/>
  <c r="B29" i="2"/>
  <c r="F29" i="2"/>
  <c r="F28" i="10"/>
  <c r="J29" i="2"/>
  <c r="I28" i="10"/>
  <c r="N29" i="2"/>
  <c r="R29" i="2"/>
  <c r="O28" i="10"/>
  <c r="B30" i="2"/>
  <c r="C29" i="10"/>
  <c r="F30" i="2"/>
  <c r="J30" i="2"/>
  <c r="N30" i="2"/>
  <c r="L29" i="10"/>
  <c r="R30" i="2"/>
  <c r="B19" i="2"/>
  <c r="C18" i="10"/>
  <c r="F19" i="2"/>
  <c r="J19" i="2"/>
  <c r="N19" i="2"/>
  <c r="L18" i="10"/>
  <c r="R19" i="2"/>
  <c r="B20" i="2"/>
  <c r="F20" i="2"/>
  <c r="F19" i="10"/>
  <c r="J20" i="2"/>
  <c r="I19" i="10"/>
  <c r="N20" i="2"/>
  <c r="R20" i="2"/>
  <c r="O19" i="10"/>
  <c r="B21" i="2"/>
  <c r="C20" i="10"/>
  <c r="F21" i="2"/>
  <c r="J21" i="2"/>
  <c r="N21" i="2"/>
  <c r="L20" i="10"/>
  <c r="R21" i="2"/>
  <c r="B15" i="2"/>
  <c r="C15" i="10"/>
  <c r="F15" i="2"/>
  <c r="F15" i="10"/>
  <c r="J15" i="2"/>
  <c r="I15" i="10"/>
  <c r="N15" i="2"/>
  <c r="L15" i="10"/>
  <c r="R15" i="2"/>
  <c r="O15" i="10"/>
  <c r="B16" i="2"/>
  <c r="C16" i="10"/>
  <c r="F16" i="2"/>
  <c r="F16" i="10"/>
  <c r="J16" i="2"/>
  <c r="I16" i="10"/>
  <c r="N16" i="2"/>
  <c r="L16" i="10"/>
  <c r="R16" i="2"/>
  <c r="O16" i="10"/>
  <c r="B17" i="2"/>
  <c r="C17" i="10"/>
  <c r="F17" i="2"/>
  <c r="F17" i="10"/>
  <c r="J17" i="2"/>
  <c r="I17" i="10"/>
  <c r="N17" i="2"/>
  <c r="L17" i="10"/>
  <c r="R17" i="2"/>
  <c r="O17" i="10"/>
  <c r="D11" i="2"/>
  <c r="B11" i="2"/>
  <c r="C12" i="10"/>
  <c r="G11" i="2"/>
  <c r="H11" i="2"/>
  <c r="L11" i="2"/>
  <c r="P11" i="2"/>
  <c r="T11" i="2"/>
  <c r="D12" i="2"/>
  <c r="B12" i="2"/>
  <c r="C13" i="10"/>
  <c r="G12" i="2"/>
  <c r="H12" i="2"/>
  <c r="L12" i="2"/>
  <c r="P12" i="2"/>
  <c r="T12" i="2"/>
  <c r="D13" i="2"/>
  <c r="B13" i="2"/>
  <c r="C14" i="10"/>
  <c r="G13" i="2"/>
  <c r="H13" i="2"/>
  <c r="L13" i="2"/>
  <c r="P13" i="2"/>
  <c r="T13" i="2"/>
  <c r="AF19" i="4"/>
  <c r="AF20" i="4"/>
  <c r="AF18" i="4"/>
  <c r="C19" i="10"/>
  <c r="F18" i="10"/>
  <c r="I29" i="10"/>
  <c r="L28" i="10"/>
  <c r="AE35" i="4"/>
  <c r="O27" i="10"/>
  <c r="C27" i="10"/>
  <c r="F26" i="10"/>
  <c r="L24" i="10"/>
  <c r="C23" i="10"/>
  <c r="F22" i="10"/>
  <c r="I20" i="10"/>
  <c r="L19" i="10"/>
  <c r="AE26" i="4"/>
  <c r="O18" i="10"/>
  <c r="F29" i="10"/>
  <c r="AE34" i="4"/>
  <c r="O26" i="10"/>
  <c r="L23" i="10"/>
  <c r="AE30" i="4"/>
  <c r="O22" i="10"/>
  <c r="F20" i="10"/>
  <c r="AE37" i="4"/>
  <c r="O29" i="10"/>
  <c r="I27" i="10"/>
  <c r="C21" i="10"/>
  <c r="AE28" i="4"/>
  <c r="O20" i="10"/>
  <c r="I18" i="10"/>
  <c r="C28" i="10"/>
  <c r="F27" i="10"/>
  <c r="I26" i="10"/>
  <c r="L25" i="10"/>
  <c r="C24" i="10"/>
  <c r="I22" i="10"/>
  <c r="L21" i="10"/>
  <c r="AE31" i="4"/>
  <c r="AE29" i="4"/>
  <c r="AE27" i="4"/>
  <c r="AE36" i="4"/>
  <c r="AE33" i="4"/>
  <c r="AE32" i="4"/>
  <c r="F13" i="2"/>
  <c r="F14" i="10"/>
  <c r="F12" i="2"/>
  <c r="F13" i="10"/>
  <c r="F11" i="2"/>
  <c r="F12" i="10"/>
  <c r="K13" i="2"/>
  <c r="K12" i="2"/>
  <c r="K11" i="2"/>
  <c r="AG36" i="4"/>
  <c r="AH36" i="4"/>
  <c r="AG34" i="4"/>
  <c r="AH34" i="4"/>
  <c r="AG27" i="4"/>
  <c r="AH27" i="4"/>
  <c r="AG29" i="4"/>
  <c r="AH29" i="4"/>
  <c r="AG31" i="4"/>
  <c r="AH31" i="4"/>
  <c r="J13" i="2"/>
  <c r="I14" i="10"/>
  <c r="O13" i="2"/>
  <c r="J12" i="2"/>
  <c r="I13" i="10"/>
  <c r="O12" i="2"/>
  <c r="J11" i="2"/>
  <c r="I12" i="10"/>
  <c r="O11" i="2"/>
  <c r="A12" i="10"/>
  <c r="E12" i="10"/>
  <c r="H12" i="10"/>
  <c r="K12" i="10"/>
  <c r="N12" i="10"/>
  <c r="A8" i="10"/>
  <c r="E8" i="10"/>
  <c r="H8" i="10"/>
  <c r="K8" i="10"/>
  <c r="N8" i="10"/>
  <c r="AF13" i="4"/>
  <c r="D6" i="2"/>
  <c r="B6" i="2"/>
  <c r="C8" i="10"/>
  <c r="G6" i="2"/>
  <c r="H6" i="2"/>
  <c r="L6" i="2"/>
  <c r="P6" i="2"/>
  <c r="T6" i="2"/>
  <c r="A13" i="10"/>
  <c r="E13" i="10"/>
  <c r="H13" i="10"/>
  <c r="K13" i="10"/>
  <c r="N13" i="10"/>
  <c r="A14" i="10"/>
  <c r="E14" i="10"/>
  <c r="H14" i="10"/>
  <c r="K14" i="10"/>
  <c r="N14" i="10"/>
  <c r="A15" i="10"/>
  <c r="E15" i="10"/>
  <c r="H15" i="10"/>
  <c r="K15" i="10"/>
  <c r="N15" i="10"/>
  <c r="A16" i="10"/>
  <c r="E16" i="10"/>
  <c r="H16" i="10"/>
  <c r="K16" i="10"/>
  <c r="N16" i="10"/>
  <c r="A17" i="10"/>
  <c r="E17" i="10"/>
  <c r="H17" i="10"/>
  <c r="K17" i="10"/>
  <c r="N17" i="10"/>
  <c r="AG32" i="4"/>
  <c r="AH32" i="4"/>
  <c r="AG37" i="4"/>
  <c r="AH37" i="4"/>
  <c r="AG35" i="4"/>
  <c r="AH35" i="4"/>
  <c r="AG33" i="4"/>
  <c r="AH33" i="4"/>
  <c r="AG30" i="4"/>
  <c r="AH30" i="4"/>
  <c r="AG28" i="4"/>
  <c r="AH28" i="4"/>
  <c r="AG26" i="4"/>
  <c r="AH26" i="4"/>
  <c r="N11" i="2"/>
  <c r="L12" i="10"/>
  <c r="S11" i="2"/>
  <c r="R11" i="2"/>
  <c r="O12" i="10"/>
  <c r="N12" i="2"/>
  <c r="L13" i="10"/>
  <c r="S12" i="2"/>
  <c r="R12" i="2"/>
  <c r="O13" i="10"/>
  <c r="N13" i="2"/>
  <c r="L14" i="10"/>
  <c r="S13" i="2"/>
  <c r="R13" i="2"/>
  <c r="O14" i="10"/>
  <c r="F6" i="2"/>
  <c r="F8" i="10"/>
  <c r="K6" i="2"/>
  <c r="AE18" i="4"/>
  <c r="AG19" i="4"/>
  <c r="J6" i="2"/>
  <c r="I8" i="10"/>
  <c r="O6" i="2"/>
  <c r="AF15" i="4"/>
  <c r="AF16" i="4"/>
  <c r="AF14" i="4"/>
  <c r="G8" i="2"/>
  <c r="K8" i="2"/>
  <c r="O8" i="2"/>
  <c r="S8" i="2"/>
  <c r="G9" i="2"/>
  <c r="K9" i="2"/>
  <c r="O9" i="2"/>
  <c r="S9" i="2"/>
  <c r="G7" i="2"/>
  <c r="K7" i="2"/>
  <c r="O7" i="2"/>
  <c r="S7" i="2"/>
  <c r="AE20" i="4"/>
  <c r="Q4" i="1"/>
  <c r="N4" i="1"/>
  <c r="K4" i="1"/>
  <c r="H4" i="1"/>
  <c r="E4" i="1"/>
  <c r="AE19" i="4"/>
  <c r="AH19" i="4"/>
  <c r="AG13" i="4"/>
  <c r="AG20" i="4"/>
  <c r="AH20" i="4"/>
  <c r="AG18" i="4"/>
  <c r="AH18" i="4"/>
  <c r="AE24" i="4"/>
  <c r="AE22" i="4"/>
  <c r="AE23" i="4"/>
  <c r="N6" i="2"/>
  <c r="L8" i="10"/>
  <c r="S6" i="2"/>
  <c r="R6" i="2"/>
  <c r="O8" i="10"/>
  <c r="AE13" i="4"/>
  <c r="AH13" i="4"/>
  <c r="AG23" i="4"/>
  <c r="AH23" i="4"/>
  <c r="AG22" i="4"/>
  <c r="AH22" i="4"/>
  <c r="AG24" i="4"/>
  <c r="AH24" i="4"/>
  <c r="AG15" i="4"/>
  <c r="A9" i="10"/>
  <c r="E9" i="10"/>
  <c r="H9" i="10"/>
  <c r="K9" i="10"/>
  <c r="N9" i="10"/>
  <c r="A10" i="10"/>
  <c r="E10" i="10"/>
  <c r="H10" i="10"/>
  <c r="K10" i="10"/>
  <c r="N10" i="10"/>
  <c r="A11" i="10"/>
  <c r="E11" i="10"/>
  <c r="H11" i="10"/>
  <c r="K11" i="10"/>
  <c r="N11" i="10"/>
  <c r="AG16" i="4"/>
  <c r="AG14" i="4"/>
  <c r="T7" i="2"/>
  <c r="R7" i="2"/>
  <c r="T8" i="2"/>
  <c r="T9" i="2"/>
  <c r="R9" i="2"/>
  <c r="P7" i="2"/>
  <c r="N7" i="2"/>
  <c r="P8" i="2"/>
  <c r="N8" i="2"/>
  <c r="P9" i="2"/>
  <c r="N9" i="2"/>
  <c r="L7" i="2"/>
  <c r="J7" i="2"/>
  <c r="L8" i="2"/>
  <c r="J8" i="2"/>
  <c r="L9" i="2"/>
  <c r="J9" i="2"/>
  <c r="H7" i="2"/>
  <c r="F7" i="2"/>
  <c r="H8" i="2"/>
  <c r="F8" i="2"/>
  <c r="H9" i="2"/>
  <c r="F9" i="2"/>
  <c r="D7" i="2"/>
  <c r="B7" i="2"/>
  <c r="D8" i="2"/>
  <c r="B8" i="2"/>
  <c r="D9" i="2"/>
  <c r="B9" i="2"/>
  <c r="R8" i="2"/>
  <c r="C11" i="10"/>
  <c r="F10" i="10"/>
  <c r="AE16" i="4"/>
  <c r="AH16" i="4"/>
  <c r="O11" i="10"/>
  <c r="C10" i="10"/>
  <c r="F9" i="10"/>
  <c r="L11" i="10"/>
  <c r="I11" i="10"/>
  <c r="C9" i="10"/>
  <c r="L10" i="10"/>
  <c r="AE14" i="4"/>
  <c r="O9" i="10"/>
  <c r="AE15" i="4"/>
  <c r="AH15" i="4"/>
  <c r="O10" i="10"/>
  <c r="F11" i="10"/>
  <c r="I10" i="10"/>
  <c r="L9" i="10"/>
  <c r="I9" i="10"/>
  <c r="AH14" i="4"/>
  <c r="AH41" i="4"/>
  <c r="AB8" i="7"/>
  <c r="AB9" i="7"/>
  <c r="AB10" i="7"/>
  <c r="AB11" i="7"/>
  <c r="AB7" i="7"/>
  <c r="B7" i="9"/>
  <c r="C6" i="3"/>
  <c r="C7" i="3"/>
  <c r="C36" i="10"/>
  <c r="C35" i="10"/>
  <c r="Z12" i="7"/>
  <c r="T12" i="7"/>
  <c r="N12" i="7"/>
  <c r="B12" i="7"/>
  <c r="H12" i="7"/>
  <c r="Z11" i="7"/>
  <c r="N11" i="7"/>
  <c r="B11" i="7"/>
  <c r="H11" i="7"/>
  <c r="T11" i="7"/>
  <c r="L8" i="8"/>
  <c r="L7" i="8"/>
  <c r="L6" i="8"/>
  <c r="S7" i="3"/>
  <c r="S6" i="3"/>
  <c r="S5" i="3"/>
  <c r="O7" i="3"/>
  <c r="O6" i="3"/>
  <c r="O5" i="3"/>
  <c r="K7" i="3"/>
  <c r="K6" i="3"/>
  <c r="K5" i="3"/>
  <c r="G7" i="3"/>
  <c r="G6" i="3"/>
  <c r="G5" i="3"/>
  <c r="C5" i="3"/>
  <c r="L34" i="10"/>
  <c r="L36" i="10"/>
  <c r="F34" i="10"/>
  <c r="C34" i="10"/>
  <c r="L35" i="10"/>
  <c r="Z10" i="7"/>
  <c r="T10" i="7"/>
  <c r="N10" i="7"/>
  <c r="H10" i="7"/>
  <c r="I36" i="10"/>
  <c r="I35" i="10"/>
  <c r="E6" i="8"/>
  <c r="I34" i="10"/>
  <c r="F36" i="10"/>
  <c r="F35" i="10"/>
  <c r="AE47" i="4"/>
  <c r="AH47" i="4"/>
  <c r="O35" i="10"/>
  <c r="AE46" i="4"/>
  <c r="AH46" i="4"/>
  <c r="O34" i="10"/>
  <c r="AE48" i="4"/>
  <c r="AH48" i="4"/>
  <c r="O36" i="10"/>
  <c r="E7" i="8"/>
  <c r="E4" i="8"/>
  <c r="AH49" i="4"/>
  <c r="E8" i="8"/>
  <c r="I4" i="1"/>
  <c r="I3" i="1"/>
  <c r="L4" i="1"/>
  <c r="L3" i="1"/>
  <c r="C4" i="1"/>
  <c r="L5" i="10"/>
  <c r="I5" i="10"/>
  <c r="C6" i="10"/>
  <c r="C5" i="10"/>
  <c r="O4" i="1"/>
  <c r="AE6" i="4"/>
  <c r="AH6" i="4"/>
  <c r="O3" i="1"/>
  <c r="D6" i="8"/>
  <c r="D7" i="8"/>
  <c r="AE5" i="4"/>
  <c r="AH5" i="4"/>
  <c r="AH7" i="4"/>
  <c r="O5" i="10"/>
  <c r="X12" i="7"/>
  <c r="C6" i="9"/>
  <c r="E6" i="9"/>
  <c r="L73" i="10" s="1"/>
  <c r="R12" i="7"/>
  <c r="C5" i="9"/>
  <c r="E5" i="9"/>
  <c r="I68" i="10" s="1"/>
  <c r="C6" i="8"/>
  <c r="I78" i="10"/>
  <c r="C7" i="8"/>
  <c r="C4" i="8"/>
  <c r="C78" i="10"/>
  <c r="F12" i="7"/>
  <c r="AD12" i="7"/>
  <c r="C7" i="9"/>
  <c r="D7" i="9" s="1"/>
  <c r="E7" i="9" s="1"/>
  <c r="C54" i="10"/>
  <c r="C52" i="10"/>
  <c r="C50" i="10"/>
  <c r="C48" i="10"/>
  <c r="C46" i="10"/>
  <c r="C74" i="10"/>
  <c r="C76" i="10"/>
  <c r="C67" i="10"/>
  <c r="C69" i="10"/>
  <c r="C71" i="10"/>
  <c r="C63" i="10"/>
  <c r="C62" i="10"/>
  <c r="C60" i="10"/>
  <c r="C58" i="10"/>
  <c r="C53" i="10"/>
  <c r="C51" i="10"/>
  <c r="C47" i="10"/>
  <c r="C75" i="10"/>
  <c r="C68" i="10"/>
  <c r="C70" i="10"/>
  <c r="C66" i="10"/>
  <c r="C61" i="10"/>
  <c r="C59" i="10"/>
  <c r="C56" i="10"/>
  <c r="C49" i="10"/>
  <c r="C73" i="10"/>
  <c r="C64" i="10"/>
  <c r="C57" i="10"/>
  <c r="C39" i="10"/>
  <c r="C44" i="10"/>
  <c r="C43" i="10"/>
  <c r="C42" i="10"/>
  <c r="C41" i="10"/>
  <c r="C40" i="10"/>
  <c r="L78" i="10"/>
  <c r="C8" i="8"/>
  <c r="Z8" i="7"/>
  <c r="N8" i="7"/>
  <c r="H8" i="7"/>
  <c r="T8" i="7"/>
  <c r="K8" i="8"/>
  <c r="O78" i="10" s="1"/>
  <c r="E5" i="8"/>
  <c r="H9" i="7"/>
  <c r="Z9" i="7"/>
  <c r="T9" i="7"/>
  <c r="N9" i="7"/>
  <c r="T7" i="7"/>
  <c r="N7" i="7"/>
  <c r="H7" i="7"/>
  <c r="Z7" i="7"/>
  <c r="F4" i="1"/>
  <c r="F3" i="1"/>
  <c r="D5" i="8"/>
  <c r="F6" i="10"/>
  <c r="F5" i="10"/>
  <c r="L12" i="7"/>
  <c r="C5" i="8"/>
  <c r="C4" i="9"/>
  <c r="E4" i="9"/>
  <c r="F41" i="10" s="1"/>
  <c r="F78" i="10"/>
  <c r="F53" i="10"/>
  <c r="F60" i="10"/>
  <c r="F61" i="10"/>
  <c r="AH50" i="4"/>
  <c r="D8" i="8"/>
  <c r="D4" i="8"/>
  <c r="O73" i="10" l="1"/>
  <c r="O60" i="10"/>
  <c r="O67" i="10"/>
  <c r="O59" i="10"/>
  <c r="O48" i="10"/>
  <c r="O58" i="10"/>
  <c r="O51" i="10"/>
  <c r="O42" i="10"/>
  <c r="O76" i="10"/>
  <c r="O57" i="10"/>
  <c r="O47" i="10"/>
  <c r="O68" i="10"/>
  <c r="O49" i="10"/>
  <c r="O69" i="10"/>
  <c r="O61" i="10"/>
  <c r="O50" i="10"/>
  <c r="O62" i="10"/>
  <c r="O53" i="10"/>
  <c r="O40" i="10"/>
  <c r="O66" i="10"/>
  <c r="O56" i="10"/>
  <c r="O44" i="10"/>
  <c r="F7" i="9"/>
  <c r="O70" i="10"/>
  <c r="O74" i="10"/>
  <c r="O71" i="10"/>
  <c r="O63" i="10"/>
  <c r="O52" i="10"/>
  <c r="O64" i="10"/>
  <c r="O46" i="10"/>
  <c r="O43" i="10"/>
  <c r="O75" i="10"/>
  <c r="O54" i="10"/>
  <c r="O41" i="10"/>
  <c r="L60" i="10"/>
  <c r="L75" i="10"/>
  <c r="L41" i="10"/>
  <c r="L58" i="10"/>
  <c r="F56" i="10"/>
  <c r="F44" i="10"/>
  <c r="L51" i="10"/>
  <c r="L47" i="10"/>
  <c r="F67" i="10"/>
  <c r="L49" i="10"/>
  <c r="L56" i="10"/>
  <c r="F50" i="10"/>
  <c r="F46" i="10"/>
  <c r="L42" i="10"/>
  <c r="L50" i="10"/>
  <c r="L67" i="10"/>
  <c r="L59" i="10"/>
  <c r="F76" i="10"/>
  <c r="F42" i="10"/>
  <c r="F6" i="9"/>
  <c r="U9" i="7" s="1"/>
  <c r="W9" i="7" s="1"/>
  <c r="X9" i="7" s="1"/>
  <c r="H7" i="8" s="1"/>
  <c r="L48" i="10"/>
  <c r="L76" i="10"/>
  <c r="L57" i="10"/>
  <c r="F5" i="9"/>
  <c r="O11" i="7" s="1"/>
  <c r="Q11" i="7" s="1"/>
  <c r="R11" i="7" s="1"/>
  <c r="J6" i="8" s="1"/>
  <c r="I67" i="10"/>
  <c r="F73" i="10"/>
  <c r="F68" i="10"/>
  <c r="F69" i="10"/>
  <c r="F64" i="10"/>
  <c r="F71" i="10"/>
  <c r="U10" i="7"/>
  <c r="W10" i="7" s="1"/>
  <c r="X10" i="7" s="1"/>
  <c r="I7" i="8" s="1"/>
  <c r="I49" i="10"/>
  <c r="I47" i="10"/>
  <c r="L44" i="10"/>
  <c r="L40" i="10"/>
  <c r="L54" i="10"/>
  <c r="L64" i="10"/>
  <c r="L71" i="10"/>
  <c r="L74" i="10"/>
  <c r="L63" i="10"/>
  <c r="L66" i="10"/>
  <c r="F57" i="10"/>
  <c r="F59" i="10"/>
  <c r="F58" i="10"/>
  <c r="F52" i="10"/>
  <c r="F49" i="10"/>
  <c r="U7" i="7"/>
  <c r="W7" i="7" s="1"/>
  <c r="X7" i="7" s="1"/>
  <c r="I48" i="10"/>
  <c r="I58" i="10"/>
  <c r="L43" i="10"/>
  <c r="L53" i="10"/>
  <c r="L52" i="10"/>
  <c r="L62" i="10"/>
  <c r="L69" i="10"/>
  <c r="L46" i="10"/>
  <c r="L61" i="10"/>
  <c r="L70" i="10"/>
  <c r="I40" i="10"/>
  <c r="I59" i="10"/>
  <c r="I73" i="10"/>
  <c r="L68" i="10"/>
  <c r="F43" i="10"/>
  <c r="F75" i="10"/>
  <c r="F48" i="10"/>
  <c r="F47" i="10"/>
  <c r="F40" i="10"/>
  <c r="F54" i="10"/>
  <c r="I44" i="10"/>
  <c r="I42" i="10"/>
  <c r="I54" i="10"/>
  <c r="I56" i="10"/>
  <c r="I57" i="10"/>
  <c r="I76" i="10"/>
  <c r="I64" i="10"/>
  <c r="I66" i="10"/>
  <c r="I75" i="10"/>
  <c r="I41" i="10"/>
  <c r="I53" i="10"/>
  <c r="I52" i="10"/>
  <c r="I63" i="10"/>
  <c r="I71" i="10"/>
  <c r="I74" i="10"/>
  <c r="I62" i="10"/>
  <c r="I70" i="10"/>
  <c r="F70" i="10"/>
  <c r="F74" i="10"/>
  <c r="F66" i="10"/>
  <c r="F63" i="10"/>
  <c r="F51" i="10"/>
  <c r="F4" i="9"/>
  <c r="F62" i="10"/>
  <c r="I43" i="10"/>
  <c r="I51" i="10"/>
  <c r="I50" i="10"/>
  <c r="I61" i="10"/>
  <c r="I69" i="10"/>
  <c r="I46" i="10"/>
  <c r="I60" i="10"/>
  <c r="G4" i="8"/>
  <c r="H4" i="8"/>
  <c r="I4" i="8"/>
  <c r="C11" i="7"/>
  <c r="E11" i="7" s="1"/>
  <c r="F11" i="7" s="1"/>
  <c r="J4" i="8" s="1"/>
  <c r="AA10" i="7" l="1"/>
  <c r="AC10" i="7" s="1"/>
  <c r="AD10" i="7" s="1"/>
  <c r="I8" i="8" s="1"/>
  <c r="AA8" i="7"/>
  <c r="AC8" i="7" s="1"/>
  <c r="AD8" i="7" s="1"/>
  <c r="G8" i="8" s="1"/>
  <c r="AA11" i="7"/>
  <c r="AC11" i="7" s="1"/>
  <c r="AD11" i="7" s="1"/>
  <c r="J8" i="8" s="1"/>
  <c r="AA7" i="7"/>
  <c r="AC7" i="7" s="1"/>
  <c r="AA9" i="7"/>
  <c r="AC9" i="7" s="1"/>
  <c r="AD9" i="7" s="1"/>
  <c r="H8" i="8" s="1"/>
  <c r="O7" i="7"/>
  <c r="Q7" i="7" s="1"/>
  <c r="O10" i="7"/>
  <c r="Q10" i="7" s="1"/>
  <c r="R10" i="7" s="1"/>
  <c r="I6" i="8" s="1"/>
  <c r="O9" i="7"/>
  <c r="Q9" i="7" s="1"/>
  <c r="R9" i="7" s="1"/>
  <c r="H6" i="8" s="1"/>
  <c r="O8" i="7"/>
  <c r="Q8" i="7" s="1"/>
  <c r="R8" i="7" s="1"/>
  <c r="G6" i="8" s="1"/>
  <c r="U8" i="7"/>
  <c r="W8" i="7" s="1"/>
  <c r="X8" i="7" s="1"/>
  <c r="G7" i="8" s="1"/>
  <c r="U11" i="7"/>
  <c r="W11" i="7" s="1"/>
  <c r="X11" i="7" s="1"/>
  <c r="J7" i="8" s="1"/>
  <c r="I11" i="7"/>
  <c r="K11" i="7" s="1"/>
  <c r="L11" i="7" s="1"/>
  <c r="J5" i="8" s="1"/>
  <c r="I8" i="7"/>
  <c r="K8" i="7" s="1"/>
  <c r="L8" i="7" s="1"/>
  <c r="G5" i="8" s="1"/>
  <c r="I9" i="7"/>
  <c r="K9" i="7" s="1"/>
  <c r="L9" i="7" s="1"/>
  <c r="H5" i="8" s="1"/>
  <c r="I10" i="7"/>
  <c r="K10" i="7" s="1"/>
  <c r="L10" i="7" s="1"/>
  <c r="I5" i="8" s="1"/>
  <c r="I7" i="7"/>
  <c r="K7" i="7" s="1"/>
  <c r="R7" i="7"/>
  <c r="Q14" i="7"/>
  <c r="F7" i="8"/>
  <c r="E14" i="7"/>
  <c r="AC14" i="7" l="1"/>
  <c r="AD7" i="7"/>
  <c r="X14" i="7"/>
  <c r="M7" i="8"/>
  <c r="W14" i="7"/>
  <c r="F6" i="8"/>
  <c r="M6" i="8" s="1"/>
  <c r="R14" i="7"/>
  <c r="L7" i="7"/>
  <c r="K14" i="7"/>
  <c r="F4" i="8"/>
  <c r="M4" i="8" s="1"/>
  <c r="F14" i="7"/>
  <c r="AD14" i="7" l="1"/>
  <c r="F8" i="8"/>
  <c r="M8" i="8" s="1"/>
  <c r="L14" i="7"/>
  <c r="F5" i="8"/>
  <c r="M5" i="8" s="1"/>
</calcChain>
</file>

<file path=xl/sharedStrings.xml><?xml version="1.0" encoding="utf-8"?>
<sst xmlns="http://schemas.openxmlformats.org/spreadsheetml/2006/main" count="955" uniqueCount="253">
  <si>
    <t>№ п/п</t>
  </si>
  <si>
    <t>Наименование штатной единицы, непосредственно оказывающейуслугу</t>
  </si>
  <si>
    <t>Норма</t>
  </si>
  <si>
    <t>Нормативное количество ресурса</t>
  </si>
  <si>
    <t>Нормативное количество одновременно оказываемых услуг</t>
  </si>
  <si>
    <t>Комментарий</t>
  </si>
  <si>
    <t>Наименование государственной услуги</t>
  </si>
  <si>
    <t>ОТ1</t>
  </si>
  <si>
    <t>МЗ</t>
  </si>
  <si>
    <t>ИНЗ</t>
  </si>
  <si>
    <t>КУ</t>
  </si>
  <si>
    <t>СНИ</t>
  </si>
  <si>
    <t>СОЦДИ</t>
  </si>
  <si>
    <t>УС</t>
  </si>
  <si>
    <t>ТУ</t>
  </si>
  <si>
    <t>ОТ2</t>
  </si>
  <si>
    <t>ПНЗ</t>
  </si>
  <si>
    <t>Этап спортивной подготовки</t>
  </si>
  <si>
    <t>Этап высшего спортивного мастерства</t>
  </si>
  <si>
    <t>Этап совершенствования спортивного мастерства</t>
  </si>
  <si>
    <t>Тренировочный этап (этап спортивной специализации)</t>
  </si>
  <si>
    <t>Этап начальной подготовки</t>
  </si>
  <si>
    <t>Спортивно-оздоровительный этап</t>
  </si>
  <si>
    <t>Тренер-преподаватель</t>
  </si>
  <si>
    <t>Тренер-преподаватель по общефизической и специальной физической подготовке</t>
  </si>
  <si>
    <t xml:space="preserve">Наименование ресурса </t>
  </si>
  <si>
    <t>Нормативное количество услуг</t>
  </si>
  <si>
    <t>Комментарий (обоснование использования ресурсов, их состава и количественных характеристик)</t>
  </si>
  <si>
    <t>2=3/4</t>
  </si>
  <si>
    <t>1.Оплата труда работников, непосредственно связанных с оказанием государственной (муниципальной) услуги</t>
  </si>
  <si>
    <t>2. Материальные запасы/основные средства, потребляемые в процессе оказания государственной (муниципальной) услуги</t>
  </si>
  <si>
    <t>3. Иные ресурсы, непосредственно связанные с оказанием i-ой государственной (муниципальной) услуги</t>
  </si>
  <si>
    <t>Транспортные услуги для выезда на сборы</t>
  </si>
  <si>
    <t>Медицинское обслуживание спортсменов на сборах</t>
  </si>
  <si>
    <t>Проживание на учебно-тренировочных сборах</t>
  </si>
  <si>
    <t>Срок использования  ресурса</t>
  </si>
  <si>
    <t>Цена единицы  ресурса</t>
  </si>
  <si>
    <t xml:space="preserve">Нормативные затраты </t>
  </si>
  <si>
    <t>Комментарий (обоснование количественных характеристик ресурсов)</t>
  </si>
  <si>
    <t>-</t>
  </si>
  <si>
    <t>х</t>
  </si>
  <si>
    <t>Расчет произведен исходя из средней стоимости проезда на сборы 7200 (туда-обратно)</t>
  </si>
  <si>
    <t>Количество учебно-тренировочных сборов в год для спортсмена этапа ССМ определяется в соответствии с Приложением №10 ФССП "Перечень тренировочных сборов"</t>
  </si>
  <si>
    <t>Количество дней учебно-тренировочных сборов в год для спортсмена этапа ССМ определяется в соответствии с Приложением №10 ФССП "Перечень тренировочных сборов"</t>
  </si>
  <si>
    <t>Расчет произведен исходя из размера средней заработной платы по РФ (29 792,00 рублей*12месяцев*1,302 - начисления на ОТ)</t>
  </si>
  <si>
    <t xml:space="preserve">Стоимость 1 дня медицинского обслуживания спортсмена на сборах в соответствии с </t>
  </si>
  <si>
    <t xml:space="preserve">Стоимость проживания на учебно-тренировочных сборах в соответствии c Приказом Министерства спорта, туризма и молодежной политики РФ от 16 апреля 2010 г. N 365 "Об утверждении Норм расходов средств на проведение физкультурных и спортивных мероприятий, включенных в Единый календарный план межрегиональных, всероссийских и международных физкультурных мероприятий и спортивных мероприятий" (с изменениями и дополнениями)
</t>
  </si>
  <si>
    <t>Плановые затраты</t>
  </si>
  <si>
    <t>4 =2*3</t>
  </si>
  <si>
    <t>1. Коммунальные услуги</t>
  </si>
  <si>
    <t>Газоснабжение</t>
  </si>
  <si>
    <t>Электроснабжение</t>
  </si>
  <si>
    <t>Теплоснабжение</t>
  </si>
  <si>
    <t>Горячее водоснабжение</t>
  </si>
  <si>
    <t>Холодное водоснабжение</t>
  </si>
  <si>
    <t>Водоотведение</t>
  </si>
  <si>
    <t>ИТОГО гр. 1</t>
  </si>
  <si>
    <t>2. Содержание объектов недвижимого имущества, эксплуатируемого в процессе оказания государственной (муниципальной) услуги</t>
  </si>
  <si>
    <t>Техническое обслуживание и регламентно-профилактический ремонт систем охранно-тревожной сигнализации</t>
  </si>
  <si>
    <t>Содержание прилегающей территории</t>
  </si>
  <si>
    <t>Вывоз твердых бытовых отходов</t>
  </si>
  <si>
    <t>Техническое обслуживание и регламентно-профилактический ремонт водонапорной насосной станции хозяйственно-питьевого и противопожарного водоснабжения</t>
  </si>
  <si>
    <t>Техническое обслуживание и регламентно-профилактический ремонт водонапорной насосной станции пожаротушения</t>
  </si>
  <si>
    <t>Техническое обслуживание и регламентно-профилактический ремонт, в том числе на подготовку отопительной системы к зимнему сезону, индивидуального теплового пункта</t>
  </si>
  <si>
    <t>Техническое обслуживание и регламентно-профилактический ремонт электрооборудования (электроподстанций, трансформаторных подстанций, электрощитовых) административного здания (помещения)</t>
  </si>
  <si>
    <t>ИТОГО гр. 2</t>
  </si>
  <si>
    <t>3. Содержание объектов особо ценного движимого имущества, эксплуатируемого в процессе оказания государственной (муниципальной) услуги</t>
  </si>
  <si>
    <t>Техническое обслуживание и ремонт транспортных средств</t>
  </si>
  <si>
    <t>Техническое обслуживание и регламентно-профилактический ремонт бытового оборудования</t>
  </si>
  <si>
    <t>Техническое обслуживание и регламентно-профилактический ремонт дизельных генераторных установок</t>
  </si>
  <si>
    <t>Техническое обслуживание и регламентно-профилактический ремонт системы газового пожаротушения</t>
  </si>
  <si>
    <t>Техническое обслуживание и регламентно-профилактический ремонт систем кондиционирования и вентиляции</t>
  </si>
  <si>
    <t>Техническое обслуживание и регламентно-профилактический ремонт систем пожарной сигнализации</t>
  </si>
  <si>
    <t>Техническое обслуживание и регламентно-профилактический ремонт систем контроля и управления доступом</t>
  </si>
  <si>
    <t>Техническое обслуживание и регламентно-профилактический ремонт систем автоматического диспетчерского управления</t>
  </si>
  <si>
    <t>Техническое обслуживание и регламентно-профилактический ремонт систем видеонаблюдения</t>
  </si>
  <si>
    <t>ИТОГО гр. 3</t>
  </si>
  <si>
    <t>4. Услуги связи</t>
  </si>
  <si>
    <t>Затраты на абонентскую плату</t>
  </si>
  <si>
    <t>Затраты на повременную оплату местных, междугородних телефонных соединений</t>
  </si>
  <si>
    <t>Затраты на оплату услуг сотовой связи</t>
  </si>
  <si>
    <t>Затраты на Интернет для планшетного компьютера</t>
  </si>
  <si>
    <t>Затраты на Интернет</t>
  </si>
  <si>
    <t>Затраты на оплату иных услуг связи</t>
  </si>
  <si>
    <t>ИТОГО гр. 4</t>
  </si>
  <si>
    <t>5. Транспортные услуги</t>
  </si>
  <si>
    <t>Затраты по договору на оказание услуг доставки грузов</t>
  </si>
  <si>
    <t>Затраты на оплату услуг найма транспортных средств</t>
  </si>
  <si>
    <t>Затраты на оплату разовых услуг пассажирских перевозок при проведении совещания</t>
  </si>
  <si>
    <t>Затраты на оплату проезда работника к месту нахождения учебного заведения и обратно</t>
  </si>
  <si>
    <t>ИТОГО гр. 5</t>
  </si>
  <si>
    <t>6. Оплата труда административно-управленческого, административно-хозяйственного, вспомогательного и иного персонала</t>
  </si>
  <si>
    <t>Оплата труда административно-управленческого, административно-хозяйственного, вспомогательного и иного персонала</t>
  </si>
  <si>
    <t>ИТОГО гр. 6</t>
  </si>
  <si>
    <t>7. Прочие ресурсы (затраты)</t>
  </si>
  <si>
    <t>ИТОГО гр. 7</t>
  </si>
  <si>
    <t>ВСЕГО (гр.1 + гр.2 + гр3 + гр.4 + гр.5 + гр.6 + гр.7 )</t>
  </si>
  <si>
    <t xml:space="preserve"> </t>
  </si>
  <si>
    <t>Базовые нормативные затраты на общехозяйст-венные нужды</t>
  </si>
  <si>
    <t>5=2/3</t>
  </si>
  <si>
    <t>6=2/3*4</t>
  </si>
  <si>
    <t>ИТОГО</t>
  </si>
  <si>
    <t>Наименование (вид иных затрат, непосредственно связанных с оказанием услуги)</t>
  </si>
  <si>
    <t>Показатель объема</t>
  </si>
  <si>
    <t>Тариф (Цена)</t>
  </si>
  <si>
    <t>Наименование показателя объема</t>
  </si>
  <si>
    <t>Наименование ресурса</t>
  </si>
  <si>
    <t>куб.м</t>
  </si>
  <si>
    <t>кВт час.</t>
  </si>
  <si>
    <t>количество устройств, ед.</t>
  </si>
  <si>
    <t>площадь здания, планируемая к проведению текущего ремонта (кв.м.)</t>
  </si>
  <si>
    <t>площадь закрепленной территории (кв.м.)</t>
  </si>
  <si>
    <t>куб.м.</t>
  </si>
  <si>
    <t>кв.м.</t>
  </si>
  <si>
    <t>площадь здания (кв.м.)</t>
  </si>
  <si>
    <t>Х</t>
  </si>
  <si>
    <t>количество установок (ед,)</t>
  </si>
  <si>
    <t>количество датчиков (ед.)</t>
  </si>
  <si>
    <t>количество извещателей (ед.)</t>
  </si>
  <si>
    <t>количество номеров, ед.</t>
  </si>
  <si>
    <t>количество sim-карт, ед.</t>
  </si>
  <si>
    <t>количество каналов, ед</t>
  </si>
  <si>
    <t>количество услуг, ед.</t>
  </si>
  <si>
    <t>планируемое к найму кол-во транспортных средств, ед.</t>
  </si>
  <si>
    <t>количество разовых услуг, ед.</t>
  </si>
  <si>
    <t>количество работников, имеющих право на компенсацию, чел.</t>
  </si>
  <si>
    <t>фонд оплаты труда</t>
  </si>
  <si>
    <t>Тренировочные сборы не предусмотрены</t>
  </si>
  <si>
    <t>Количество учебно-тренировочных сборов в год для спортсмена этапа  определяется в соответствии с Приложением №10 ФССП "Перечень тренировочных сборов"</t>
  </si>
  <si>
    <t>Количество дней учебно-тренировочных сборов в год для спортсмена этапа  определяется в соответствии с Приложением №10 ФССП "Перечень тренировочных сборов"</t>
  </si>
  <si>
    <t>Перечень и нормативное количество ресурсов определяется в соответствии с Приложением №12 ФССП. Для ресурсов группы "Спортивная экипировка, передаваемая в индивидуальное использование" норма потребления рассчитывается исходя из количества ресурса на 1 человека, соответственно нормативное количество услуг составляет 1</t>
  </si>
  <si>
    <t xml:space="preserve">Расчет исходя из стоимости ресурса, срока использования и нормы потребления в соответствии с ФССП по виду спорта.  Концептуально, ввиду малоценности каждой отдельной группы ресурсов группы "Дополнительное и вспомогательное оборудование и спортивный инвентарь", и "суровых" условий их эксплуатации срок полезного использования можно применить равным 1 год! </t>
  </si>
  <si>
    <t>Предельная доля оплаты труда работников административно-управленческого персонала, в фонде оплаты труда не более 40% (п 10.2 Постановления Правительства 583 от 5 августа 2008)</t>
  </si>
  <si>
    <t>Общее полезное время использования имущественного комплекса</t>
  </si>
  <si>
    <t>Норма времени использования имущественного комплекса на оказание государственной (муниципальной) услуги</t>
  </si>
  <si>
    <t xml:space="preserve">Стоимость единицы времени использования (аренды) имущественного комплекса </t>
  </si>
  <si>
    <t>Комментарий (обоснование количественных характеристик)</t>
  </si>
  <si>
    <t>Перечень и нормативное количество ресурсов определяется в соответствии с Приложением №11 ФССП. Для ресурсов группы "Дополнительное и вспомогательное оборудование и спортивный инвентарь" норма потребления рассчитывается исходя из количества ресурса на группу человек.</t>
  </si>
  <si>
    <t>Спортивная экипировка, передаваемая в индивидуальное пользование</t>
  </si>
  <si>
    <t>Наименование этапа спортивно подготовки</t>
  </si>
  <si>
    <t>Примечание</t>
  </si>
  <si>
    <t xml:space="preserve">Общее полезное время использования имущественного комплекса – 3436 часов в год из режима работы 247 полных 12 часовых рабочих дней в году и 59 сокращенных 8 часовых рабочих дней при максимальной наполняемости учреждения исключительно тренируемыми СО этапа. Количество тренируемых необходимых для для максимальной наполняемости учреждения определяется исходя из соотношения планового фонда оплаты труда основного персонала по пилотному учреждению и нормой оплаты труда за одного тренируемого на данном тренировочном этапе. </t>
  </si>
  <si>
    <t>Этап Высшего спортивного мастерства</t>
  </si>
  <si>
    <t>Наименование натуральной нормы</t>
  </si>
  <si>
    <t>Значение натуральной нормы</t>
  </si>
  <si>
    <t>1. Натуральные нормы, непосредственно связанные с оказанием государственной услуги</t>
  </si>
  <si>
    <t>1.1 Работники, непосредственно связанные с оказанием государственной услуги</t>
  </si>
  <si>
    <t>человеко-часов</t>
  </si>
  <si>
    <t>1.2. Материальные запасы и особо ценное движимое имущество, потребляемые (используемые) в процессе оказания государственной услуги</t>
  </si>
  <si>
    <t>штук</t>
  </si>
  <si>
    <t>пар</t>
  </si>
  <si>
    <t>1.3. Иные натуральные нормы, непосредственно используемые в процессе оказания государственной  услуги</t>
  </si>
  <si>
    <t>количество сборов</t>
  </si>
  <si>
    <t>дней</t>
  </si>
  <si>
    <t>2. Натуральные нормы на общехозяйственные нужды</t>
  </si>
  <si>
    <t>2.1. Коммунальные услуги</t>
  </si>
  <si>
    <t>2.2 Содержание объектов недвижимого имущества, необходимого для выполнения государственного задания</t>
  </si>
  <si>
    <t xml:space="preserve">Проведение текущего ремонта </t>
  </si>
  <si>
    <t>Техническое обслуживание и регламентно-профилактический ремонт каналов</t>
  </si>
  <si>
    <t>количество, ед.</t>
  </si>
  <si>
    <t>ед</t>
  </si>
  <si>
    <t>2.3. Содержание объектов особо ценного движимого имущества, необходимого для выполнения государственного задания</t>
  </si>
  <si>
    <t>2.4. Услуги связи</t>
  </si>
  <si>
    <t>2.5. Транспортные услуги</t>
  </si>
  <si>
    <t>2.6. Работники, которые не принимают непосредственного участия в оказании государственной услуги</t>
  </si>
  <si>
    <t>2.7. Прочие общехозяйственные нужды</t>
  </si>
  <si>
    <t>12=1+2+3+4+5+6+7+8+9+10+11</t>
  </si>
  <si>
    <t>Проведение текущего ремонта</t>
  </si>
  <si>
    <t>площадь, в отношении которой заключен договор (кв.м.)</t>
  </si>
  <si>
    <t>Техническое обслуживание и регламентно-профилактический ремонт лифтов</t>
  </si>
  <si>
    <t>количество лифтов, ед.</t>
  </si>
  <si>
    <t>комплект</t>
  </si>
  <si>
    <t>Спортивное оборудование и инвентарь</t>
  </si>
  <si>
    <t xml:space="preserve">Дополнительное и вспомогательное оборудование и спортивный инвентарь              </t>
  </si>
  <si>
    <t>Ккал</t>
  </si>
  <si>
    <t xml:space="preserve">Услуги по бак.и хим.анализу воды бассейна </t>
  </si>
  <si>
    <t>Техническое обслуживание и регламентно-профилактический ремонт холодульной установки и системы охлаждения арены</t>
  </si>
  <si>
    <t>продолжительность вызовов, мин.</t>
  </si>
  <si>
    <t xml:space="preserve">Ворота для хоккея                         </t>
  </si>
  <si>
    <t xml:space="preserve">Клюшка для игры в хоккей                  </t>
  </si>
  <si>
    <t xml:space="preserve">Ограждение площадки (борта, сетка защитная) </t>
  </si>
  <si>
    <t xml:space="preserve">Шайба                                     </t>
  </si>
  <si>
    <t xml:space="preserve">Гантели массивные от 1 до 5 кг            </t>
  </si>
  <si>
    <t>Мячи набивные (медицинбол) весом от 1 кг до 5 кг</t>
  </si>
  <si>
    <t xml:space="preserve">Сумка для клюшек                          </t>
  </si>
  <si>
    <t xml:space="preserve">Клюшка хоккейная для вратаря  </t>
  </si>
  <si>
    <t xml:space="preserve">Клюшка хоккейная </t>
  </si>
  <si>
    <t xml:space="preserve">Шайба   </t>
  </si>
  <si>
    <t>Оборудование и спортивный инвентарь, выдаваемые в индивидуальное пользование</t>
  </si>
  <si>
    <t xml:space="preserve">Гетры        </t>
  </si>
  <si>
    <t xml:space="preserve">Защита вратаря (панцирь, шорты, щитки, налокотники) </t>
  </si>
  <si>
    <t xml:space="preserve">Защита (панцирь, шорты, защита голени, налокотники, визор, краги)     </t>
  </si>
  <si>
    <t xml:space="preserve">Коньки хоккейные для вратаря (ботинки с лезвиями)    </t>
  </si>
  <si>
    <t xml:space="preserve">Коньки хоккейные (ботинки с лезвиями)     </t>
  </si>
  <si>
    <t xml:space="preserve">Майка        </t>
  </si>
  <si>
    <t xml:space="preserve">Перчатка вратаря - блин  </t>
  </si>
  <si>
    <t xml:space="preserve">Перчатка вратаря - ловушка    </t>
  </si>
  <si>
    <t xml:space="preserve">Подтяжки     </t>
  </si>
  <si>
    <t xml:space="preserve">Подтяжки для гетр   </t>
  </si>
  <si>
    <t xml:space="preserve">Раковина защитная    </t>
  </si>
  <si>
    <t xml:space="preserve">Рейтузы      </t>
  </si>
  <si>
    <t xml:space="preserve">Свитер       </t>
  </si>
  <si>
    <t xml:space="preserve">Шлем защитный для вратаря (с маской) </t>
  </si>
  <si>
    <t xml:space="preserve">Шлем защитный       </t>
  </si>
  <si>
    <t>Метод наиболее эффективного учреждения</t>
  </si>
  <si>
    <t xml:space="preserve">Общее полезное время использования имущественного комплекса – 3436 часов в год из режима работы 247 полных 12 часовых рабочих дней в году и 59 сокращенных 8 часовых рабочих дней </t>
  </si>
  <si>
    <t>В соответствии с ФССП по виду спорта</t>
  </si>
  <si>
    <t>Перечень и количество ресурсов определяется в соответствии с ФССП по виду спорта</t>
  </si>
  <si>
    <t>Перечень и количество тренировочных сборах в соответствии с ФССП по виду спорта</t>
  </si>
  <si>
    <t>Проживание на тренировочных сборах</t>
  </si>
  <si>
    <t>Нормативное количество ресурса - количество тренеров на 1 группу по каждому этапу. Нормативное количество единовременно оказываемых услуг определяется в соответствии с наполняемостью группы на этапе спрортивной подготовки (Приложение №1 ФССП по виду спорта - приказ Минспорта от 27.03.2013 № 149). Наполняемость групп на этапах спортивной подготовки для расчета использована максимально допустимая ФССП.</t>
  </si>
  <si>
    <t>Нормативное количество ресурса материального запаса/основного средства (шт)</t>
  </si>
  <si>
    <t>Норма (шт.)</t>
  </si>
  <si>
    <t>Срок полезного использования, лет</t>
  </si>
  <si>
    <t>5=4/3</t>
  </si>
  <si>
    <t>8=5*7/6</t>
  </si>
  <si>
    <t>ИТОГО матзапасы/основные средства</t>
  </si>
  <si>
    <t>ИТОГО оплата труда</t>
  </si>
  <si>
    <t>Перечень и нормативное количество ресурсов определяется в соответствии с Приложением №11 ФССП. Для ресурсов группы "Дополнительное и вспомогательное оборудование и спортивный инвентарь" норма потребления рассчитывается исходя из количества ресурса на группу человек.
Расчет затрат - исходя из стоимости ресурса, срока использования и нормы потребления в соответствии с ФССП по виду спорта.</t>
  </si>
  <si>
    <t>Затраты на единицу услуги</t>
  </si>
  <si>
    <t>Цена единицы ресурса, руб</t>
  </si>
  <si>
    <t>ИТОГО иные ресурсы</t>
  </si>
  <si>
    <t>ВСЕГО нормативные затраты, непосредственно связанные с оказанием услуги</t>
  </si>
  <si>
    <t>Наименование (вид) материального запаса/основного средства</t>
  </si>
  <si>
    <t>Наименование (вид) иного ресурса</t>
  </si>
  <si>
    <t>Нормативное количество иного ресурса (ед., дни)</t>
  </si>
  <si>
    <t>Норма (ед., дни)</t>
  </si>
  <si>
    <t>Годовой ФОТ, руб</t>
  </si>
  <si>
    <t>Норма трудозатрат на оказание единицы государственной услуги (работников)</t>
  </si>
  <si>
    <t>Должность работника</t>
  </si>
  <si>
    <t>Количество работников на 1 группу</t>
  </si>
  <si>
    <t>Количество работников на 1 группу - исходя из нормативов максимального объема тренировочной нагрузки (ФССП, приложение 9) и годовой объем рабочего времени (1971 час)
. Нормативное количество единовременно оказываемых услуг определяется в соответствии с наполняемостью группы на этапе спрортивной подготовки (Приложение №1 ФССП по виду спорта - приказ Минспорта от 27.03.2013 № 149). Наполняемость групп на этапах спортивной подготовки для расчета использована максимально допустимая ФССП.
Расчет затрат произведен исходя из размера средней заработной платы по РФ (29 792,00 рублей*12месяцев*1,302 - начисления на ОТ)</t>
  </si>
  <si>
    <t>Нормативное количество одновременно оказываемых услуг (тренирующихся спортсменов)</t>
  </si>
  <si>
    <t>Базовый норматив затрат, непосредственно связанных с оказанием государственной услуги, руб.</t>
  </si>
  <si>
    <t>Базовый норматив затрат на общехозяйственные нужды, руб</t>
  </si>
  <si>
    <t>Базовый норматив затрат на оказание услуги, руб.</t>
  </si>
  <si>
    <t>Проживание на учебно-тренировочных сборах, из стандарта ФССП</t>
  </si>
  <si>
    <t>5=2*4</t>
  </si>
  <si>
    <t>Норма времени использования имущественного комплекса на оказание государственной (муниципальной) услуги (из ФССП, приложение 9)</t>
  </si>
  <si>
    <t>6=4*5</t>
  </si>
  <si>
    <t>Базовый норматив затрат на общехозяйственные нужды</t>
  </si>
  <si>
    <t>Спортивная подготовка по олимпийским видам спорта - хоккей</t>
  </si>
  <si>
    <t>Предельная доля оплаты труда работников административно-управленческого персонала, в фонде оплаты труда не более 40% (п 10.2 Постановления Правительства 583 от 5 августа 2008). 
37 059 399,92 - ФОТ работников, непосредственно связанных с оказанием государственной (муниципальной) услуги, в наиболее эффективном учреждении</t>
  </si>
  <si>
    <t>Общее полезное время использования имущественного комплекса – 3436 часов в год из режима работы 247 полных 12 часовых рабочих дней в году и 59 сокращенных 8 часовых рабочих дней при максимальной наполняемости учреждения исключительно тренируемыми этапа ВСМ.
Оплата труда административно-управленческого, административно-хозяйственного, вспомогательного и иного персонала рассчитывается как доля 
(=40% / 60%) от затрат на оплату труда работников, непосредственно связанных с оказанием государственной (муниципальной) услуги</t>
  </si>
  <si>
    <t>Общее полезное время использования имущественного комплекса – 3436 часов в год из режима работы 247 полных 12 часовых рабочих дней в году и 59 сокращенных 8 часовых рабочих дней при максимальной наполняемости учреждения исключительно тренируемыми этапа ССМ.
Оплата труда административно-управленческого, административно-хозяйственного, вспомогательного и иного персонала рассчитывается как доля 
(=40% / 60%) от затрат на оплату труда работников, непосредственно связанных с оказанием государственной (муниципальной) услуги</t>
  </si>
  <si>
    <t>Общее полезное время использования имущественного комплекса – 3436 часов в год из режима работы 247 полных 12 часовых рабочих дней в году и 59 сокращенных 8 часовых рабочих дней при максимальной наполняемости учреждения исключительно тренируемыми этапа СС.
Оплата труда административно-управленческого, административно-хозяйственного, вспомогательного и иного персонала рассчитывается как доля 
(=40% / 60%) от затрат на оплату труда работников, непосредственно связанных с оказанием государственной (муниципальной) услуги</t>
  </si>
  <si>
    <t>Общее полезное время использования имущественного комплекса – 3436 часов в год из режима работы 247 полных 12 часовых рабочих дней в году и 59 сокращенных 8 часовых рабочих дней при максимальной наполняемости учреждения исключительно тренируемыми этапа НП.
Оплата труда административно-управленческого, административно-хозяйственного, вспомогательного и иного персонала рассчитывается как доля 
(=40% / 60%) от затрат на оплату труда работников, непосредственно связанных с оказанием государственной (муниципальной) услуги</t>
  </si>
  <si>
    <t>ФОТ тренера (тренерской norma-пары) при максимальной загрузке работников, руб. = Затраты на ед. услуги в части ОТ1 * Количество тренирующихся (max-норма) на одного тренера в год (обеспечение полной годовой занятости</t>
  </si>
  <si>
    <t>Количество тренирующихся спортсменов (max-норма) на одного тренера (тренерскую norma-пару) в год (обеспечение полной годовой занятости) = 1971 час (годовой фонда рабочего времени работника) / норматив максимального объема тренировочной нагрузки на одного спортсмена* Нормативное количество одновременно оказываемых услуг (тренирующихся спортсменов)</t>
  </si>
  <si>
    <t>Количество тренерских norma-пар = ФОТ всех работников, непосредственно связанных с оказанием государственной (муниципальной) услуги, в наиболее эффективном учреждении / ФОТ тренера (тренерской norma-пары) при максимальной загрузке работников</t>
  </si>
  <si>
    <t>Требуемая максимальная наполняемость учреждения при заданном плановом ФОТ тренируемыми одного этапа спортивной подготовки (количество спортсменов)</t>
  </si>
  <si>
    <t>Общее полезное время использования имущественного комплекса (человеко-часов) = 3436 * требуемая максимальная наполняемость учреждения при заданном плановом ФОТ тренируемыми одного этапа спортивной подготовки</t>
  </si>
  <si>
    <t>Количество работников на 1 группу - исходя из нормативов максимального объема тренировочной нагрузки (ФССП, приложение 9) и годовой объем рабочего времени (1971 час). 
Нормативное количество единовременно оказываемых услуг определяется в соответствии с наполняемостью группы на этапе спрортивной подготовки (Приложение №1 ФССП по виду спорта - приказ Минспорта от 27.03.2013 № 149). Наполняемость групп на этапах спортивной подготовки для расчета использована максимально допустимая ФССП.
Расчет затрат произведен исходя из размера средней заработной платы по РФ (29 792,00 рублей*12месяцев*1,302 - начисления на ОТ)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</si>
</sst>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charset val="204"/>
    </font>
    <font>
      <sz val="10"/>
      <color theme="1"/>
      <name val="Times New Roman"/>
      <family val="1"/>
      <charset val="204"/>
    </font>
    <font>
      <sz val="10"/>
      <color rgb="FF000000"/>
      <name val="Times New Roman"/>
      <family val="1"/>
      <charset val="204"/>
    </font>
    <font>
      <b/>
      <sz val="10"/>
      <color theme="1"/>
      <name val="Times New Roman"/>
      <family val="1"/>
      <charset val="204"/>
    </font>
    <font>
      <sz val="8"/>
      <color rgb="FF000000"/>
      <name val="Times New Roman"/>
      <family val="1"/>
      <charset val="204"/>
    </font>
    <font>
      <b/>
      <sz val="10"/>
      <color rgb="FF000000"/>
      <name val="Times New Roman"/>
      <family val="1"/>
      <charset val="204"/>
    </font>
    <font>
      <b/>
      <i/>
      <sz val="10"/>
      <color rgb="FF000000"/>
      <name val="Times New Roman"/>
      <family val="1"/>
      <charset val="204"/>
    </font>
    <font>
      <sz val="11"/>
      <color theme="1"/>
      <name val="Times New Roman"/>
      <family val="1"/>
      <charset val="204"/>
    </font>
    <font>
      <b/>
      <sz val="10"/>
      <color rgb="FFFF0000"/>
      <name val="Times New Roman"/>
      <family val="1"/>
      <charset val="204"/>
    </font>
    <font>
      <sz val="9"/>
      <color theme="1"/>
      <name val="Times New Roman"/>
      <family val="1"/>
      <charset val="204"/>
    </font>
    <font>
      <sz val="9"/>
      <color rgb="FF000000"/>
      <name val="Times New Roman"/>
      <family val="1"/>
      <charset val="204"/>
    </font>
    <font>
      <sz val="10"/>
      <color indexed="8"/>
      <name val="Times New Roman"/>
      <family val="1"/>
      <charset val="204"/>
    </font>
    <font>
      <b/>
      <sz val="9"/>
      <color rgb="FF000000"/>
      <name val="Times New Roman"/>
      <family val="1"/>
      <charset val="204"/>
    </font>
    <font>
      <sz val="9"/>
      <color rgb="FFFF0000"/>
      <name val="Times New Roman"/>
      <family val="1"/>
      <charset val="204"/>
    </font>
    <font>
      <b/>
      <sz val="10"/>
      <name val="Times New Roman"/>
      <family val="1"/>
      <charset val="204"/>
    </font>
    <font>
      <sz val="10"/>
      <name val="Times New Roman"/>
      <family val="1"/>
      <charset val="204"/>
    </font>
    <font>
      <sz val="9"/>
      <name val="Times New Roman"/>
      <family val="1"/>
      <charset val="204"/>
    </font>
    <font>
      <b/>
      <sz val="8"/>
      <color theme="1"/>
      <name val="Times New Roman"/>
      <family val="1"/>
      <charset val="204"/>
    </font>
    <font>
      <b/>
      <sz val="8"/>
      <color theme="1"/>
      <name val="Arial"/>
      <family val="2"/>
      <charset val="204"/>
    </font>
    <font>
      <b/>
      <i/>
      <sz val="11"/>
      <color theme="1"/>
      <name val="Times New Roman"/>
      <family val="1"/>
      <charset val="204"/>
    </font>
    <font>
      <b/>
      <i/>
      <sz val="10"/>
      <color theme="1"/>
      <name val="Times New Roman"/>
      <family val="1"/>
      <charset val="204"/>
    </font>
    <font>
      <sz val="10"/>
      <color theme="1"/>
      <name val="Calibri"/>
      <family val="2"/>
      <scheme val="minor"/>
    </font>
    <font>
      <b/>
      <i/>
      <sz val="11"/>
      <color rgb="FFFF0000"/>
      <name val="Times New Roman"/>
      <family val="1"/>
      <charset val="204"/>
    </font>
  </fonts>
  <fills count="9">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s>
  <cellStyleXfs count="6">
    <xf numFmtId="0" fontId="0" fillId="0" borderId="0"/>
    <xf numFmtId="0" fontId="2" fillId="0" borderId="0"/>
    <xf numFmtId="0" fontId="4" fillId="0" borderId="0"/>
    <xf numFmtId="0" fontId="3" fillId="0" borderId="0"/>
    <xf numFmtId="0" fontId="1" fillId="0" borderId="0"/>
    <xf numFmtId="164" fontId="3" fillId="0" borderId="0" applyFont="0" applyFill="0" applyBorder="0" applyAlignment="0" applyProtection="0"/>
  </cellStyleXfs>
  <cellXfs count="315">
    <xf numFmtId="0" fontId="0" fillId="0" borderId="0" xfId="0"/>
    <xf numFmtId="0" fontId="5" fillId="4" borderId="1" xfId="1" applyFont="1" applyFill="1" applyBorder="1"/>
    <xf numFmtId="0" fontId="5" fillId="4" borderId="1" xfId="1" applyFont="1" applyFill="1" applyBorder="1" applyAlignment="1">
      <alignment horizontal="center" wrapText="1"/>
    </xf>
    <xf numFmtId="0" fontId="5" fillId="0" borderId="1" xfId="1" applyFont="1" applyBorder="1" applyAlignment="1">
      <alignment horizontal="center"/>
    </xf>
    <xf numFmtId="0" fontId="5" fillId="2" borderId="1" xfId="0" applyFont="1" applyFill="1" applyBorder="1" applyAlignment="1">
      <alignment horizontal="center"/>
    </xf>
    <xf numFmtId="0" fontId="5" fillId="0" borderId="1" xfId="0" applyFont="1" applyBorder="1" applyAlignment="1">
      <alignment horizontal="left" wrapText="1"/>
    </xf>
    <xf numFmtId="0" fontId="5" fillId="2" borderId="1" xfId="0" applyFont="1" applyFill="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10" fillId="0" borderId="1" xfId="0" applyFont="1" applyBorder="1" applyAlignment="1">
      <alignment vertical="center" wrapText="1"/>
    </xf>
    <xf numFmtId="0" fontId="9" fillId="0" borderId="1" xfId="0" applyFont="1" applyBorder="1" applyAlignment="1">
      <alignment vertical="center" wrapText="1"/>
    </xf>
    <xf numFmtId="0" fontId="6" fillId="0" borderId="1" xfId="0" applyFont="1" applyBorder="1" applyAlignment="1">
      <alignment horizontal="right" vertical="center" wrapText="1"/>
    </xf>
    <xf numFmtId="4" fontId="6"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0" fontId="5"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vertical="center" wrapText="1"/>
    </xf>
    <xf numFmtId="0" fontId="6" fillId="7" borderId="1" xfId="0" applyFont="1" applyFill="1" applyBorder="1" applyAlignment="1">
      <alignment horizontal="justify" vertical="center" wrapText="1"/>
    </xf>
    <xf numFmtId="4" fontId="6" fillId="7" borderId="1" xfId="0" applyNumberFormat="1" applyFont="1" applyFill="1" applyBorder="1" applyAlignment="1">
      <alignment horizontal="center" vertical="center" wrapText="1"/>
    </xf>
    <xf numFmtId="4" fontId="9" fillId="7" borderId="1" xfId="0" applyNumberFormat="1" applyFont="1" applyFill="1" applyBorder="1" applyAlignment="1">
      <alignment horizontal="center" vertical="center" wrapText="1"/>
    </xf>
    <xf numFmtId="0" fontId="6" fillId="7" borderId="1" xfId="0" applyFont="1" applyFill="1" applyBorder="1" applyAlignment="1">
      <alignment horizontal="left" vertical="center" wrapText="1"/>
    </xf>
    <xf numFmtId="0" fontId="0" fillId="0" borderId="0" xfId="0" applyAlignment="1">
      <alignment horizontal="left"/>
    </xf>
    <xf numFmtId="0" fontId="9" fillId="2" borderId="1" xfId="0" applyFont="1" applyFill="1" applyBorder="1" applyAlignment="1">
      <alignment horizontal="center" vertical="center" wrapText="1"/>
    </xf>
    <xf numFmtId="0" fontId="15" fillId="0" borderId="1" xfId="0" applyFont="1" applyBorder="1" applyAlignment="1">
      <alignment vertical="center" wrapText="1"/>
    </xf>
    <xf numFmtId="0" fontId="5" fillId="0" borderId="1" xfId="0" applyFont="1" applyBorder="1" applyAlignment="1">
      <alignment horizontal="center"/>
    </xf>
    <xf numFmtId="0" fontId="5" fillId="0" borderId="1" xfId="0" applyFont="1" applyBorder="1" applyAlignment="1">
      <alignment wrapText="1"/>
    </xf>
    <xf numFmtId="4" fontId="9"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right" vertical="center" wrapText="1"/>
    </xf>
    <xf numFmtId="4" fontId="13" fillId="7" borderId="1" xfId="0" applyNumberFormat="1" applyFont="1" applyFill="1" applyBorder="1" applyAlignment="1">
      <alignment horizontal="right" vertical="center" wrapText="1"/>
    </xf>
    <xf numFmtId="4" fontId="9" fillId="7" borderId="1" xfId="0" applyNumberFormat="1" applyFont="1" applyFill="1" applyBorder="1" applyAlignment="1">
      <alignment horizontal="right" vertical="center" wrapText="1"/>
    </xf>
    <xf numFmtId="4" fontId="6" fillId="7" borderId="1" xfId="0" applyNumberFormat="1" applyFont="1" applyFill="1" applyBorder="1" applyAlignment="1">
      <alignment horizontal="right" vertical="center" wrapText="1"/>
    </xf>
    <xf numFmtId="4" fontId="6" fillId="0" borderId="1"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4" fontId="0" fillId="0" borderId="0" xfId="0" applyNumberFormat="1" applyAlignment="1">
      <alignment horizontal="right"/>
    </xf>
    <xf numFmtId="4" fontId="5" fillId="3" borderId="1" xfId="0" applyNumberFormat="1" applyFont="1" applyFill="1" applyBorder="1" applyAlignment="1">
      <alignment horizontal="right"/>
    </xf>
    <xf numFmtId="0" fontId="14" fillId="7" borderId="1" xfId="0" applyFont="1" applyFill="1" applyBorder="1" applyAlignment="1">
      <alignment horizontal="center" vertical="center" wrapText="1"/>
    </xf>
    <xf numFmtId="4" fontId="14" fillId="7"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0" fillId="0" borderId="1" xfId="0" applyBorder="1"/>
    <xf numFmtId="0" fontId="12" fillId="0" borderId="1" xfId="0" applyFont="1" applyBorder="1" applyAlignment="1">
      <alignment vertical="center" wrapText="1"/>
    </xf>
    <xf numFmtId="0" fontId="14" fillId="2"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4" fillId="2" borderId="19" xfId="0" applyFont="1" applyFill="1" applyBorder="1" applyAlignment="1">
      <alignment horizontal="center" vertical="center" wrapText="1"/>
    </xf>
    <xf numFmtId="0" fontId="14" fillId="2" borderId="16" xfId="0" applyFont="1" applyFill="1" applyBorder="1" applyAlignment="1">
      <alignment horizontal="center" vertical="center" wrapText="1"/>
    </xf>
    <xf numFmtId="4" fontId="14" fillId="0" borderId="19" xfId="0" applyNumberFormat="1" applyFont="1" applyBorder="1" applyAlignment="1">
      <alignment horizontal="center" vertical="center" wrapText="1"/>
    </xf>
    <xf numFmtId="0" fontId="14"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4" fillId="0" borderId="25" xfId="0" applyFont="1" applyBorder="1" applyAlignment="1">
      <alignment horizontal="center" vertical="center" wrapText="1"/>
    </xf>
    <xf numFmtId="4" fontId="16" fillId="7" borderId="24" xfId="0" applyNumberFormat="1" applyFont="1" applyFill="1" applyBorder="1" applyAlignment="1">
      <alignment horizontal="center" vertical="center" wrapText="1"/>
    </xf>
    <xf numFmtId="0" fontId="5" fillId="4" borderId="2" xfId="1" applyFont="1" applyFill="1" applyBorder="1" applyAlignment="1">
      <alignment wrapText="1"/>
    </xf>
    <xf numFmtId="0" fontId="6" fillId="5" borderId="2"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5" fillId="3" borderId="19" xfId="1" applyFont="1" applyFill="1" applyBorder="1"/>
    <xf numFmtId="0" fontId="5" fillId="3" borderId="23" xfId="1" applyFont="1" applyFill="1" applyBorder="1"/>
    <xf numFmtId="0" fontId="5" fillId="4" borderId="16" xfId="1" applyFont="1" applyFill="1" applyBorder="1"/>
    <xf numFmtId="0" fontId="5" fillId="4" borderId="24" xfId="1" applyFont="1" applyFill="1" applyBorder="1"/>
    <xf numFmtId="0" fontId="5" fillId="4" borderId="25" xfId="1" applyFont="1" applyFill="1" applyBorder="1"/>
    <xf numFmtId="0" fontId="6" fillId="0" borderId="1" xfId="0" applyFont="1" applyBorder="1" applyAlignment="1">
      <alignment horizontal="center" vertical="center" wrapText="1"/>
    </xf>
    <xf numFmtId="4" fontId="9" fillId="0" borderId="1" xfId="0" applyNumberFormat="1" applyFont="1" applyFill="1" applyBorder="1" applyAlignment="1">
      <alignment horizontal="center" vertical="center" wrapText="1"/>
    </xf>
    <xf numFmtId="4" fontId="0" fillId="0" borderId="0" xfId="0" applyNumberFormat="1"/>
    <xf numFmtId="0" fontId="5" fillId="4" borderId="1" xfId="1" applyFont="1" applyFill="1" applyBorder="1" applyAlignment="1">
      <alignment horizontal="right" wrapText="1"/>
    </xf>
    <xf numFmtId="0" fontId="5" fillId="4" borderId="16" xfId="1" applyFont="1" applyFill="1" applyBorder="1" applyAlignment="1">
      <alignment horizontal="right" wrapText="1"/>
    </xf>
    <xf numFmtId="0" fontId="5" fillId="3" borderId="19" xfId="1" applyFont="1" applyFill="1" applyBorder="1" applyAlignment="1">
      <alignment horizontal="right"/>
    </xf>
    <xf numFmtId="0" fontId="5" fillId="4" borderId="1" xfId="1" applyFont="1" applyFill="1" applyBorder="1" applyAlignment="1">
      <alignment horizontal="right"/>
    </xf>
    <xf numFmtId="0" fontId="5" fillId="3" borderId="23" xfId="1" applyFont="1" applyFill="1" applyBorder="1" applyAlignment="1">
      <alignment horizontal="right"/>
    </xf>
    <xf numFmtId="0" fontId="5" fillId="4" borderId="24" xfId="1" applyFont="1" applyFill="1" applyBorder="1" applyAlignment="1">
      <alignment horizontal="right"/>
    </xf>
    <xf numFmtId="0" fontId="6" fillId="5" borderId="24" xfId="1" applyFont="1" applyFill="1" applyBorder="1" applyAlignment="1">
      <alignment horizontal="right" wrapText="1"/>
    </xf>
    <xf numFmtId="0" fontId="6" fillId="5" borderId="25" xfId="1" applyFont="1" applyFill="1" applyBorder="1" applyAlignment="1">
      <alignment horizontal="right" wrapText="1"/>
    </xf>
    <xf numFmtId="0" fontId="11" fillId="6" borderId="1" xfId="0" applyFont="1" applyFill="1" applyBorder="1"/>
    <xf numFmtId="0" fontId="14" fillId="2"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4" fontId="13" fillId="0" borderId="1" xfId="0" applyNumberFormat="1" applyFont="1" applyFill="1" applyBorder="1" applyAlignment="1">
      <alignment horizontal="right" vertical="center" wrapText="1"/>
    </xf>
    <xf numFmtId="4" fontId="5" fillId="3" borderId="1" xfId="0" applyNumberFormat="1" applyFont="1" applyFill="1" applyBorder="1" applyAlignment="1">
      <alignment vertical="center"/>
    </xf>
    <xf numFmtId="0" fontId="18" fillId="2" borderId="1" xfId="0" applyFont="1" applyFill="1" applyBorder="1" applyAlignment="1">
      <alignment horizontal="center" vertical="center" wrapText="1"/>
    </xf>
    <xf numFmtId="0" fontId="19" fillId="7" borderId="1" xfId="0" applyFont="1" applyFill="1" applyBorder="1" applyAlignment="1">
      <alignment horizontal="left" vertical="center" wrapText="1"/>
    </xf>
    <xf numFmtId="0" fontId="19" fillId="7" borderId="1" xfId="0" applyFont="1" applyFill="1" applyBorder="1" applyAlignment="1">
      <alignment vertical="center" wrapText="1"/>
    </xf>
    <xf numFmtId="0" fontId="19" fillId="0" borderId="1" xfId="0" applyFont="1" applyBorder="1" applyAlignment="1">
      <alignment vertical="center" wrapText="1"/>
    </xf>
    <xf numFmtId="0" fontId="19" fillId="7" borderId="1" xfId="0" applyFont="1" applyFill="1" applyBorder="1" applyAlignment="1">
      <alignment horizontal="right" vertical="center" wrapText="1"/>
    </xf>
    <xf numFmtId="0" fontId="19" fillId="7" borderId="1" xfId="1" applyFont="1" applyFill="1" applyBorder="1" applyAlignment="1">
      <alignment horizontal="left" vertical="center" wrapText="1"/>
    </xf>
    <xf numFmtId="0" fontId="19" fillId="0" borderId="1" xfId="0" applyFont="1" applyFill="1" applyBorder="1" applyAlignment="1">
      <alignment vertical="center" wrapText="1"/>
    </xf>
    <xf numFmtId="0" fontId="19" fillId="0" borderId="1" xfId="0" applyFont="1" applyBorder="1" applyAlignment="1">
      <alignment horizontal="right" vertical="center" wrapText="1"/>
    </xf>
    <xf numFmtId="0" fontId="19" fillId="0" borderId="1" xfId="0" applyFont="1" applyBorder="1" applyAlignment="1">
      <alignment horizontal="justify" vertical="center" wrapText="1"/>
    </xf>
    <xf numFmtId="0" fontId="19" fillId="0" borderId="1" xfId="0" applyFont="1" applyBorder="1" applyAlignment="1">
      <alignment vertical="center"/>
    </xf>
    <xf numFmtId="0" fontId="19" fillId="7" borderId="1" xfId="0"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right" vertical="center" wrapText="1"/>
    </xf>
    <xf numFmtId="4" fontId="5" fillId="3" borderId="1" xfId="0" applyNumberFormat="1" applyFont="1" applyFill="1" applyBorder="1"/>
    <xf numFmtId="0" fontId="19" fillId="0" borderId="0" xfId="0" applyFont="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 xfId="0" applyFont="1" applyBorder="1" applyAlignment="1">
      <alignment vertical="center" wrapText="1"/>
    </xf>
    <xf numFmtId="4" fontId="12" fillId="0" borderId="1" xfId="0" applyNumberFormat="1" applyFont="1" applyBorder="1" applyAlignment="1">
      <alignment horizontal="center" vertical="center" wrapText="1"/>
    </xf>
    <xf numFmtId="3" fontId="19" fillId="0" borderId="1" xfId="0" applyNumberFormat="1" applyFont="1" applyBorder="1" applyAlignment="1">
      <alignment horizontal="center" vertical="center" wrapText="1"/>
    </xf>
    <xf numFmtId="0" fontId="19" fillId="0" borderId="0" xfId="0" applyFont="1" applyAlignment="1">
      <alignment vertical="center"/>
    </xf>
    <xf numFmtId="0" fontId="19" fillId="0" borderId="0" xfId="0" applyFont="1" applyAlignment="1">
      <alignment horizontal="center" vertical="center"/>
    </xf>
    <xf numFmtId="0" fontId="19" fillId="0" borderId="1" xfId="0" applyFont="1" applyBorder="1" applyAlignment="1">
      <alignment horizontal="right" vertical="center"/>
    </xf>
    <xf numFmtId="0" fontId="19" fillId="0" borderId="1" xfId="0" applyFont="1" applyBorder="1" applyAlignment="1">
      <alignment horizontal="left" vertical="center" wrapText="1"/>
    </xf>
    <xf numFmtId="0" fontId="19" fillId="0" borderId="1" xfId="0" applyFont="1" applyBorder="1" applyAlignment="1">
      <alignment horizontal="center" vertical="center"/>
    </xf>
    <xf numFmtId="4" fontId="19" fillId="0" borderId="1" xfId="0" applyNumberFormat="1" applyFont="1" applyBorder="1" applyAlignment="1">
      <alignment vertical="center"/>
    </xf>
    <xf numFmtId="4" fontId="19" fillId="0" borderId="1" xfId="0" applyNumberFormat="1" applyFont="1" applyBorder="1" applyAlignment="1">
      <alignment horizontal="right" vertical="center"/>
    </xf>
    <xf numFmtId="0" fontId="19" fillId="0" borderId="0" xfId="0" applyFont="1" applyAlignment="1">
      <alignment horizontal="right" vertical="center"/>
    </xf>
    <xf numFmtId="0" fontId="19" fillId="0" borderId="0" xfId="0" applyFont="1" applyAlignment="1">
      <alignment horizontal="left" vertical="center"/>
    </xf>
    <xf numFmtId="0" fontId="6"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5" fillId="0" borderId="4" xfId="0" applyFont="1" applyBorder="1" applyAlignment="1">
      <alignment vertical="center" wrapText="1"/>
    </xf>
    <xf numFmtId="0" fontId="5" fillId="0" borderId="3" xfId="0" applyFont="1" applyBorder="1" applyAlignment="1">
      <alignment vertical="center"/>
    </xf>
    <xf numFmtId="0" fontId="5" fillId="0" borderId="4" xfId="0" applyFont="1" applyBorder="1" applyAlignment="1">
      <alignment vertical="center"/>
    </xf>
    <xf numFmtId="0" fontId="0" fillId="8" borderId="0" xfId="0" applyFill="1"/>
    <xf numFmtId="0" fontId="6" fillId="8" borderId="1" xfId="0" applyFont="1" applyFill="1" applyBorder="1" applyAlignment="1">
      <alignment horizontal="center" vertical="center" wrapText="1"/>
    </xf>
    <xf numFmtId="4" fontId="9" fillId="8"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6" fillId="0" borderId="6" xfId="0" applyFont="1" applyBorder="1" applyAlignment="1">
      <alignment vertical="center" wrapText="1"/>
    </xf>
    <xf numFmtId="2" fontId="6" fillId="0" borderId="6" xfId="0" applyNumberFormat="1" applyFont="1" applyFill="1" applyBorder="1" applyAlignment="1">
      <alignment horizontal="center" vertical="center" wrapText="1"/>
    </xf>
    <xf numFmtId="4" fontId="6" fillId="7" borderId="6"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6" fillId="0" borderId="5" xfId="0" applyFont="1" applyBorder="1" applyAlignment="1">
      <alignment vertical="center" wrapText="1"/>
    </xf>
    <xf numFmtId="2" fontId="6" fillId="0" borderId="5" xfId="0" applyNumberFormat="1" applyFont="1" applyFill="1" applyBorder="1" applyAlignment="1">
      <alignment horizontal="center" vertical="center" wrapText="1"/>
    </xf>
    <xf numFmtId="4" fontId="6" fillId="7" borderId="5"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0" fontId="10" fillId="0" borderId="3" xfId="0" applyFont="1" applyFill="1" applyBorder="1" applyAlignment="1">
      <alignment vertical="center"/>
    </xf>
    <xf numFmtId="0" fontId="6" fillId="0" borderId="3" xfId="0"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10" fillId="0" borderId="3" xfId="0" applyFont="1" applyFill="1" applyBorder="1" applyAlignment="1">
      <alignment vertical="center" wrapText="1"/>
    </xf>
    <xf numFmtId="0" fontId="9" fillId="0" borderId="3" xfId="0" applyFont="1" applyFill="1" applyBorder="1" applyAlignment="1">
      <alignment horizontal="center" vertical="center" wrapText="1"/>
    </xf>
    <xf numFmtId="164" fontId="23" fillId="3" borderId="1" xfId="5" applyFont="1" applyFill="1" applyBorder="1"/>
    <xf numFmtId="0" fontId="5" fillId="4" borderId="1" xfId="1" applyFont="1" applyFill="1" applyBorder="1" applyAlignment="1">
      <alignment horizontal="center" vertical="center" wrapText="1"/>
    </xf>
    <xf numFmtId="0" fontId="5" fillId="3" borderId="6" xfId="0" applyFont="1" applyFill="1" applyBorder="1" applyAlignment="1">
      <alignment horizontal="center" vertical="center"/>
    </xf>
    <xf numFmtId="0" fontId="6" fillId="5" borderId="1" xfId="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7" borderId="6" xfId="0" applyFont="1" applyFill="1" applyBorder="1" applyAlignment="1">
      <alignment horizontal="center" vertical="center"/>
    </xf>
    <xf numFmtId="0" fontId="6" fillId="8" borderId="4" xfId="0" applyFont="1" applyFill="1" applyBorder="1" applyAlignment="1">
      <alignment horizontal="center" vertical="center" wrapText="1"/>
    </xf>
    <xf numFmtId="0" fontId="0" fillId="0" borderId="31" xfId="0" applyBorder="1"/>
    <xf numFmtId="0" fontId="0" fillId="0" borderId="32" xfId="0" applyBorder="1" applyAlignment="1">
      <alignment horizontal="left"/>
    </xf>
    <xf numFmtId="0" fontId="22" fillId="2" borderId="19"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0" fillId="8" borderId="35" xfId="0" applyFill="1" applyBorder="1"/>
    <xf numFmtId="0" fontId="6" fillId="8" borderId="16" xfId="0" applyFont="1" applyFill="1" applyBorder="1" applyAlignment="1">
      <alignment horizontal="center" vertical="center" wrapText="1"/>
    </xf>
    <xf numFmtId="0" fontId="25" fillId="0" borderId="33" xfId="0" applyFont="1" applyFill="1" applyBorder="1"/>
    <xf numFmtId="0" fontId="5" fillId="0" borderId="33" xfId="0" applyFont="1" applyFill="1" applyBorder="1" applyAlignment="1">
      <alignment horizontal="center"/>
    </xf>
    <xf numFmtId="0" fontId="5" fillId="0" borderId="16" xfId="0" applyFont="1" applyBorder="1" applyAlignment="1">
      <alignment vertical="center" wrapText="1"/>
    </xf>
    <xf numFmtId="0" fontId="6" fillId="0" borderId="16" xfId="0" applyFont="1" applyBorder="1" applyAlignment="1">
      <alignment horizontal="center" vertical="center" wrapText="1"/>
    </xf>
    <xf numFmtId="164" fontId="23" fillId="3" borderId="24" xfId="5" applyFont="1" applyFill="1" applyBorder="1"/>
    <xf numFmtId="0" fontId="6" fillId="0" borderId="25" xfId="0" applyFont="1" applyBorder="1" applyAlignment="1">
      <alignment horizontal="center" vertical="center" wrapText="1"/>
    </xf>
    <xf numFmtId="0" fontId="23" fillId="0" borderId="3" xfId="0" applyFont="1" applyBorder="1" applyAlignment="1">
      <alignment horizontal="left"/>
    </xf>
    <xf numFmtId="0" fontId="6" fillId="8" borderId="3" xfId="0" applyFont="1" applyFill="1" applyBorder="1" applyAlignment="1">
      <alignment horizontal="center" vertical="center" wrapText="1"/>
    </xf>
    <xf numFmtId="0" fontId="23" fillId="0" borderId="30" xfId="0" applyFont="1" applyBorder="1" applyAlignment="1">
      <alignment horizontal="left"/>
    </xf>
    <xf numFmtId="0" fontId="6" fillId="7" borderId="5" xfId="1" applyFont="1" applyFill="1" applyBorder="1" applyAlignment="1">
      <alignment horizontal="center" vertical="center" wrapText="1"/>
    </xf>
    <xf numFmtId="0" fontId="6" fillId="8" borderId="6" xfId="0" applyFont="1" applyFill="1" applyBorder="1" applyAlignment="1">
      <alignment horizontal="left" vertical="center" wrapText="1"/>
    </xf>
    <xf numFmtId="0" fontId="6" fillId="8" borderId="6" xfId="0" applyFont="1" applyFill="1" applyBorder="1" applyAlignment="1">
      <alignment horizontal="center" vertical="center" wrapText="1"/>
    </xf>
    <xf numFmtId="0" fontId="24" fillId="4" borderId="3" xfId="0" applyFont="1" applyFill="1" applyBorder="1" applyAlignment="1">
      <alignment vertical="center"/>
    </xf>
    <xf numFmtId="0" fontId="23" fillId="0" borderId="36" xfId="0" applyFont="1" applyBorder="1" applyAlignment="1"/>
    <xf numFmtId="0" fontId="23" fillId="0" borderId="30" xfId="0" applyFont="1" applyBorder="1" applyAlignment="1"/>
    <xf numFmtId="0" fontId="23" fillId="0" borderId="37" xfId="0" applyFont="1" applyBorder="1" applyAlignment="1"/>
    <xf numFmtId="0" fontId="5" fillId="8" borderId="8" xfId="0" applyFont="1" applyFill="1" applyBorder="1" applyAlignment="1">
      <alignment horizontal="center" vertical="top" wrapText="1"/>
    </xf>
    <xf numFmtId="0" fontId="5" fillId="8" borderId="1" xfId="0" applyFont="1" applyFill="1" applyBorder="1" applyAlignment="1">
      <alignment horizontal="center"/>
    </xf>
    <xf numFmtId="0" fontId="24" fillId="8" borderId="30" xfId="0" applyFont="1" applyFill="1" applyBorder="1" applyAlignment="1">
      <alignment horizontal="right" vertical="center"/>
    </xf>
    <xf numFmtId="0" fontId="24" fillId="8" borderId="30" xfId="0" applyFont="1" applyFill="1" applyBorder="1" applyAlignment="1">
      <alignment vertical="center"/>
    </xf>
    <xf numFmtId="0" fontId="24" fillId="8" borderId="9" xfId="0" applyFont="1" applyFill="1" applyBorder="1" applyAlignment="1">
      <alignment horizontal="right" vertical="center"/>
    </xf>
    <xf numFmtId="164" fontId="23" fillId="8" borderId="5" xfId="5" applyFont="1" applyFill="1" applyBorder="1"/>
    <xf numFmtId="0" fontId="5" fillId="8" borderId="38" xfId="0" applyFont="1" applyFill="1" applyBorder="1" applyAlignment="1">
      <alignment horizontal="center" vertical="top" wrapText="1"/>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0" xfId="0" applyFill="1"/>
    <xf numFmtId="0" fontId="21" fillId="0" borderId="1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0"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24" fillId="0" borderId="2" xfId="0" applyFont="1" applyFill="1" applyBorder="1" applyAlignment="1">
      <alignment horizontal="right" vertical="center"/>
    </xf>
    <xf numFmtId="0" fontId="24" fillId="0" borderId="3" xfId="0" applyFont="1" applyFill="1" applyBorder="1" applyAlignment="1">
      <alignment vertical="center"/>
    </xf>
    <xf numFmtId="0" fontId="24" fillId="0" borderId="4" xfId="0" applyFont="1" applyFill="1" applyBorder="1" applyAlignment="1">
      <alignment horizontal="right" vertical="center"/>
    </xf>
    <xf numFmtId="0" fontId="6" fillId="0" borderId="22" xfId="0" applyFont="1" applyFill="1" applyBorder="1" applyAlignment="1">
      <alignment horizontal="center" vertical="center" wrapText="1"/>
    </xf>
    <xf numFmtId="0" fontId="5" fillId="0" borderId="18" xfId="0" applyFont="1" applyFill="1" applyBorder="1" applyAlignment="1">
      <alignment horizontal="center"/>
    </xf>
    <xf numFmtId="0" fontId="5" fillId="0" borderId="19" xfId="0" applyFont="1" applyFill="1" applyBorder="1" applyAlignment="1">
      <alignment horizontal="center"/>
    </xf>
    <xf numFmtId="0" fontId="5" fillId="0" borderId="15" xfId="0" applyFont="1" applyFill="1" applyBorder="1" applyAlignment="1">
      <alignment horizontal="center"/>
    </xf>
    <xf numFmtId="0" fontId="5" fillId="0" borderId="18" xfId="0" applyFont="1" applyFill="1" applyBorder="1" applyAlignment="1">
      <alignment horizontal="center" vertical="center"/>
    </xf>
    <xf numFmtId="0" fontId="24" fillId="0" borderId="33" xfId="0" applyFont="1" applyFill="1" applyBorder="1" applyAlignment="1">
      <alignment horizontal="right" vertical="center"/>
    </xf>
    <xf numFmtId="0" fontId="0" fillId="0" borderId="45" xfId="0" applyFill="1" applyBorder="1"/>
    <xf numFmtId="0" fontId="26" fillId="0" borderId="40" xfId="0" applyFont="1" applyFill="1" applyBorder="1" applyAlignment="1">
      <alignment vertical="center"/>
    </xf>
    <xf numFmtId="164" fontId="0" fillId="0" borderId="0" xfId="0" applyNumberFormat="1"/>
    <xf numFmtId="3" fontId="5" fillId="3" borderId="1" xfId="0" applyNumberFormat="1" applyFont="1" applyFill="1" applyBorder="1" applyAlignment="1">
      <alignment horizontal="center" vertical="center"/>
    </xf>
    <xf numFmtId="4" fontId="0" fillId="0" borderId="1" xfId="0" applyNumberFormat="1" applyBorder="1"/>
    <xf numFmtId="3" fontId="0" fillId="0" borderId="0" xfId="0" applyNumberFormat="1"/>
    <xf numFmtId="0" fontId="7" fillId="2" borderId="9"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1" fillId="6" borderId="1" xfId="0" applyFont="1" applyFill="1" applyBorder="1" applyAlignment="1">
      <alignment horizontal="center"/>
    </xf>
    <xf numFmtId="0" fontId="6" fillId="0" borderId="1" xfId="0" applyFont="1" applyBorder="1" applyAlignment="1">
      <alignment horizontal="center" vertical="center" wrapText="1"/>
    </xf>
    <xf numFmtId="0" fontId="11" fillId="2" borderId="1" xfId="0" applyFont="1" applyFill="1" applyBorder="1" applyAlignment="1">
      <alignment horizont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23" fillId="0" borderId="33" xfId="0" applyFont="1" applyBorder="1" applyAlignment="1">
      <alignment horizontal="left"/>
    </xf>
    <xf numFmtId="0" fontId="23" fillId="0" borderId="3" xfId="0" applyFont="1" applyBorder="1" applyAlignment="1">
      <alignment horizontal="left"/>
    </xf>
    <xf numFmtId="0" fontId="23" fillId="0" borderId="34" xfId="0" applyFont="1" applyBorder="1" applyAlignment="1">
      <alignment horizontal="left"/>
    </xf>
    <xf numFmtId="0" fontId="5" fillId="0" borderId="37" xfId="0" applyFont="1" applyFill="1" applyBorder="1" applyAlignment="1">
      <alignment horizontal="center" vertical="top" wrapText="1"/>
    </xf>
    <xf numFmtId="0" fontId="5" fillId="0" borderId="38" xfId="0" applyFont="1" applyFill="1" applyBorder="1" applyAlignment="1">
      <alignment horizontal="center" vertical="top" wrapText="1"/>
    </xf>
    <xf numFmtId="0" fontId="5" fillId="0" borderId="39" xfId="0" applyFont="1" applyFill="1" applyBorder="1" applyAlignment="1">
      <alignment horizontal="center" vertical="top"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8"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26" fillId="0" borderId="40" xfId="0" applyFont="1" applyFill="1" applyBorder="1" applyAlignment="1">
      <alignment horizontal="right" vertical="center"/>
    </xf>
    <xf numFmtId="0" fontId="26" fillId="0" borderId="41" xfId="0" applyFont="1" applyFill="1" applyBorder="1" applyAlignment="1">
      <alignment horizontal="right" vertical="center"/>
    </xf>
    <xf numFmtId="0" fontId="24" fillId="0" borderId="33" xfId="0" applyFont="1" applyFill="1" applyBorder="1" applyAlignment="1">
      <alignment horizontal="right" vertical="center"/>
    </xf>
    <xf numFmtId="0" fontId="24" fillId="0" borderId="3" xfId="0" applyFont="1" applyFill="1" applyBorder="1" applyAlignment="1">
      <alignment horizontal="right" vertical="center"/>
    </xf>
    <xf numFmtId="0" fontId="24" fillId="0" borderId="4" xfId="0" applyFont="1" applyFill="1" applyBorder="1" applyAlignment="1">
      <alignment horizontal="right" vertical="center"/>
    </xf>
    <xf numFmtId="0" fontId="24" fillId="4" borderId="3" xfId="0" applyFont="1" applyFill="1" applyBorder="1" applyAlignment="1">
      <alignment horizontal="right" vertical="center"/>
    </xf>
    <xf numFmtId="0" fontId="24" fillId="4" borderId="4" xfId="0" applyFont="1" applyFill="1" applyBorder="1" applyAlignment="1">
      <alignment horizontal="right" vertical="center"/>
    </xf>
    <xf numFmtId="0" fontId="24" fillId="4" borderId="33" xfId="0" applyFont="1" applyFill="1" applyBorder="1" applyAlignment="1">
      <alignment horizontal="right" vertical="center"/>
    </xf>
    <xf numFmtId="0" fontId="23" fillId="0" borderId="36" xfId="0" applyFont="1" applyBorder="1" applyAlignment="1">
      <alignment horizontal="left"/>
    </xf>
    <xf numFmtId="0" fontId="23" fillId="0" borderId="30" xfId="0" applyFont="1" applyBorder="1" applyAlignment="1">
      <alignment horizontal="left"/>
    </xf>
    <xf numFmtId="0" fontId="23" fillId="0" borderId="37" xfId="0" applyFont="1" applyBorder="1" applyAlignment="1">
      <alignment horizontal="left"/>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4" fontId="12" fillId="0" borderId="5" xfId="0" applyNumberFormat="1" applyFont="1" applyBorder="1" applyAlignment="1">
      <alignment horizontal="right" vertical="center" wrapText="1"/>
    </xf>
    <xf numFmtId="4" fontId="12" fillId="0" borderId="6"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13" fillId="2" borderId="1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8" borderId="12" xfId="0" applyFill="1" applyBorder="1" applyAlignment="1">
      <alignment horizontal="center"/>
    </xf>
    <xf numFmtId="0" fontId="0" fillId="8" borderId="13" xfId="0" applyFill="1" applyBorder="1" applyAlignment="1">
      <alignment horizontal="center"/>
    </xf>
    <xf numFmtId="0" fontId="0" fillId="8" borderId="14" xfId="0" applyFill="1" applyBorder="1" applyAlignment="1">
      <alignment horizont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18" fillId="2" borderId="1" xfId="1" applyFont="1" applyFill="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cellXfs>
  <cellStyles count="6">
    <cellStyle name="Обычный" xfId="0" builtinId="0"/>
    <cellStyle name="Обычный 2" xfId="1"/>
    <cellStyle name="Обычный 3" xfId="2"/>
    <cellStyle name="Обычный 4" xfId="3"/>
    <cellStyle name="Обычный 5" xfId="4"/>
    <cellStyle name="Финансовый" xfId="5"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workbookViewId="0">
      <selection activeCell="E3" sqref="E3"/>
    </sheetView>
  </sheetViews>
  <sheetFormatPr defaultRowHeight="15" x14ac:dyDescent="0.25"/>
  <cols>
    <col min="1" max="1" width="3.28515625" customWidth="1"/>
    <col min="2" max="2" width="22.85546875" customWidth="1"/>
    <col min="3" max="14" width="13.28515625" customWidth="1"/>
    <col min="15" max="17" width="13.28515625" hidden="1" customWidth="1"/>
    <col min="18" max="18" width="35.140625" customWidth="1"/>
  </cols>
  <sheetData>
    <row r="1" spans="1:18" ht="32.25" customHeight="1" x14ac:dyDescent="0.25">
      <c r="A1" s="232" t="s">
        <v>0</v>
      </c>
      <c r="B1" s="228" t="s">
        <v>1</v>
      </c>
      <c r="C1" s="236" t="s">
        <v>18</v>
      </c>
      <c r="D1" s="237"/>
      <c r="E1" s="238"/>
      <c r="F1" s="236" t="s">
        <v>19</v>
      </c>
      <c r="G1" s="237"/>
      <c r="H1" s="238"/>
      <c r="I1" s="239" t="s">
        <v>20</v>
      </c>
      <c r="J1" s="240"/>
      <c r="K1" s="241"/>
      <c r="L1" s="239" t="s">
        <v>21</v>
      </c>
      <c r="M1" s="240"/>
      <c r="N1" s="241"/>
      <c r="O1" s="236" t="s">
        <v>22</v>
      </c>
      <c r="P1" s="237"/>
      <c r="Q1" s="238"/>
      <c r="R1" s="230" t="s">
        <v>5</v>
      </c>
    </row>
    <row r="2" spans="1:18" ht="63.75" x14ac:dyDescent="0.25">
      <c r="A2" s="233"/>
      <c r="B2" s="229"/>
      <c r="C2" s="63" t="s">
        <v>2</v>
      </c>
      <c r="D2" s="46" t="s">
        <v>3</v>
      </c>
      <c r="E2" s="64" t="s">
        <v>4</v>
      </c>
      <c r="F2" s="63" t="s">
        <v>2</v>
      </c>
      <c r="G2" s="46" t="s">
        <v>3</v>
      </c>
      <c r="H2" s="64" t="s">
        <v>4</v>
      </c>
      <c r="I2" s="63" t="s">
        <v>2</v>
      </c>
      <c r="J2" s="46" t="s">
        <v>3</v>
      </c>
      <c r="K2" s="64" t="s">
        <v>4</v>
      </c>
      <c r="L2" s="63" t="s">
        <v>2</v>
      </c>
      <c r="M2" s="46" t="s">
        <v>3</v>
      </c>
      <c r="N2" s="64" t="s">
        <v>4</v>
      </c>
      <c r="O2" s="63" t="s">
        <v>2</v>
      </c>
      <c r="P2" s="46" t="s">
        <v>3</v>
      </c>
      <c r="Q2" s="64" t="s">
        <v>4</v>
      </c>
      <c r="R2" s="231"/>
    </row>
    <row r="3" spans="1:18" ht="57" customHeight="1" x14ac:dyDescent="0.25">
      <c r="A3" s="3">
        <v>1</v>
      </c>
      <c r="B3" s="61" t="s">
        <v>23</v>
      </c>
      <c r="C3" s="65">
        <f>D3/E3</f>
        <v>0.10553018772196854</v>
      </c>
      <c r="D3" s="73">
        <f>832/1971</f>
        <v>0.42212075088787415</v>
      </c>
      <c r="E3" s="74">
        <v>4</v>
      </c>
      <c r="F3" s="75">
        <f>G3/H3</f>
        <v>6.1559276171148314E-2</v>
      </c>
      <c r="G3" s="76">
        <f>728/1971</f>
        <v>0.36935565702688988</v>
      </c>
      <c r="H3" s="67">
        <v>6</v>
      </c>
      <c r="I3" s="65">
        <f>J3/K3</f>
        <v>3.1659056316590564E-2</v>
      </c>
      <c r="J3" s="1">
        <f>624/1971</f>
        <v>0.31659056316590561</v>
      </c>
      <c r="K3" s="67">
        <v>10</v>
      </c>
      <c r="L3" s="65">
        <f>M3/N3</f>
        <v>1.3191273465246067E-2</v>
      </c>
      <c r="M3" s="1">
        <f>364/1971</f>
        <v>0.18467782851344494</v>
      </c>
      <c r="N3" s="67">
        <v>14</v>
      </c>
      <c r="O3" s="65">
        <f>P3/Q3</f>
        <v>1.1306805827353772E-2</v>
      </c>
      <c r="P3" s="1">
        <f>312/1971</f>
        <v>0.15829528158295281</v>
      </c>
      <c r="Q3" s="67">
        <v>14</v>
      </c>
      <c r="R3" s="234" t="s">
        <v>210</v>
      </c>
    </row>
    <row r="4" spans="1:18" ht="97.5" customHeight="1" thickBot="1" x14ac:dyDescent="0.3">
      <c r="A4" s="2">
        <v>2</v>
      </c>
      <c r="B4" s="62" t="s">
        <v>24</v>
      </c>
      <c r="C4" s="66">
        <f>D4/E4</f>
        <v>1.7940131912734653E-2</v>
      </c>
      <c r="D4" s="79">
        <f>D3*0.17</f>
        <v>7.1760527650938613E-2</v>
      </c>
      <c r="E4" s="80">
        <f>E3</f>
        <v>4</v>
      </c>
      <c r="F4" s="77">
        <f>G4/H4</f>
        <v>1.3543040757652629E-2</v>
      </c>
      <c r="G4" s="78">
        <f>G3*0.22</f>
        <v>8.1258244545915778E-2</v>
      </c>
      <c r="H4" s="69">
        <f>H3</f>
        <v>6</v>
      </c>
      <c r="I4" s="66">
        <f>J4/K4</f>
        <v>0</v>
      </c>
      <c r="J4" s="78">
        <v>0</v>
      </c>
      <c r="K4" s="69">
        <f>K3</f>
        <v>10</v>
      </c>
      <c r="L4" s="66">
        <f>M4/N4</f>
        <v>0</v>
      </c>
      <c r="M4" s="68">
        <v>0</v>
      </c>
      <c r="N4" s="69">
        <f>N3</f>
        <v>14</v>
      </c>
      <c r="O4" s="66">
        <f>P4/Q4</f>
        <v>0</v>
      </c>
      <c r="P4" s="68">
        <v>0</v>
      </c>
      <c r="Q4" s="69">
        <f>Q3</f>
        <v>14</v>
      </c>
      <c r="R4" s="235"/>
    </row>
  </sheetData>
  <mergeCells count="9">
    <mergeCell ref="B1:B2"/>
    <mergeCell ref="R1:R2"/>
    <mergeCell ref="A1:A2"/>
    <mergeCell ref="R3:R4"/>
    <mergeCell ref="F1:H1"/>
    <mergeCell ref="O1:Q1"/>
    <mergeCell ref="I1:K1"/>
    <mergeCell ref="L1:N1"/>
    <mergeCell ref="C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Normal="100" workbookViewId="0">
      <pane xSplit="1" ySplit="3" topLeftCell="L4" activePane="bottomRight" state="frozen"/>
      <selection pane="topRight" activeCell="B1" sqref="B1"/>
      <selection pane="bottomLeft" activeCell="A4" sqref="A4"/>
      <selection pane="bottomRight" activeCell="O15" sqref="O15:O33"/>
    </sheetView>
  </sheetViews>
  <sheetFormatPr defaultRowHeight="15" x14ac:dyDescent="0.25"/>
  <cols>
    <col min="1" max="1" width="35.28515625" customWidth="1"/>
    <col min="2" max="4" width="14.5703125" customWidth="1"/>
    <col min="5" max="5" width="30.42578125" customWidth="1"/>
    <col min="6" max="8" width="14.5703125" customWidth="1"/>
    <col min="9" max="9" width="37.28515625" customWidth="1"/>
    <col min="10" max="12" width="14.5703125" customWidth="1"/>
    <col min="13" max="13" width="37.28515625" customWidth="1"/>
    <col min="14" max="16" width="14.5703125" customWidth="1"/>
    <col min="17" max="17" width="37.28515625" customWidth="1"/>
    <col min="18" max="20" width="14.5703125" hidden="1" customWidth="1"/>
    <col min="21" max="21" width="37.28515625" hidden="1" customWidth="1"/>
  </cols>
  <sheetData>
    <row r="1" spans="1:21" x14ac:dyDescent="0.25">
      <c r="A1" s="81"/>
      <c r="B1" s="242" t="s">
        <v>18</v>
      </c>
      <c r="C1" s="242"/>
      <c r="D1" s="242"/>
      <c r="E1" s="242"/>
      <c r="F1" s="242" t="s">
        <v>19</v>
      </c>
      <c r="G1" s="242"/>
      <c r="H1" s="242"/>
      <c r="I1" s="242"/>
      <c r="J1" s="242" t="s">
        <v>20</v>
      </c>
      <c r="K1" s="242"/>
      <c r="L1" s="242"/>
      <c r="M1" s="242"/>
      <c r="N1" s="242" t="s">
        <v>21</v>
      </c>
      <c r="O1" s="242"/>
      <c r="P1" s="242"/>
      <c r="Q1" s="242"/>
      <c r="R1" s="242" t="s">
        <v>22</v>
      </c>
      <c r="S1" s="242"/>
      <c r="T1" s="242"/>
      <c r="U1" s="242"/>
    </row>
    <row r="2" spans="1:21" ht="38.25" x14ac:dyDescent="0.25">
      <c r="A2" s="18" t="s">
        <v>25</v>
      </c>
      <c r="B2" s="18" t="s">
        <v>2</v>
      </c>
      <c r="C2" s="18" t="s">
        <v>3</v>
      </c>
      <c r="D2" s="18" t="s">
        <v>26</v>
      </c>
      <c r="E2" s="18" t="s">
        <v>27</v>
      </c>
      <c r="F2" s="18" t="s">
        <v>2</v>
      </c>
      <c r="G2" s="18" t="s">
        <v>3</v>
      </c>
      <c r="H2" s="18" t="s">
        <v>26</v>
      </c>
      <c r="I2" s="18" t="s">
        <v>27</v>
      </c>
      <c r="J2" s="18" t="s">
        <v>2</v>
      </c>
      <c r="K2" s="18" t="s">
        <v>3</v>
      </c>
      <c r="L2" s="18" t="s">
        <v>26</v>
      </c>
      <c r="M2" s="18" t="s">
        <v>27</v>
      </c>
      <c r="N2" s="18" t="s">
        <v>2</v>
      </c>
      <c r="O2" s="18" t="s">
        <v>3</v>
      </c>
      <c r="P2" s="18" t="s">
        <v>26</v>
      </c>
      <c r="Q2" s="18" t="s">
        <v>27</v>
      </c>
      <c r="R2" s="18" t="s">
        <v>2</v>
      </c>
      <c r="S2" s="18" t="s">
        <v>3</v>
      </c>
      <c r="T2" s="18" t="s">
        <v>26</v>
      </c>
      <c r="U2" s="18" t="s">
        <v>27</v>
      </c>
    </row>
    <row r="3" spans="1:21" x14ac:dyDescent="0.25">
      <c r="A3" s="19">
        <v>1</v>
      </c>
      <c r="B3" s="19"/>
      <c r="C3" s="19"/>
      <c r="D3" s="19"/>
      <c r="E3" s="19"/>
      <c r="F3" s="19" t="s">
        <v>28</v>
      </c>
      <c r="G3" s="19">
        <v>3</v>
      </c>
      <c r="H3" s="19">
        <v>4</v>
      </c>
      <c r="I3" s="19">
        <v>5</v>
      </c>
      <c r="J3" s="19" t="s">
        <v>28</v>
      </c>
      <c r="K3" s="19">
        <v>3</v>
      </c>
      <c r="L3" s="19">
        <v>4</v>
      </c>
      <c r="M3" s="19">
        <v>5</v>
      </c>
      <c r="N3" s="19" t="s">
        <v>28</v>
      </c>
      <c r="O3" s="19">
        <v>3</v>
      </c>
      <c r="P3" s="19">
        <v>4</v>
      </c>
      <c r="Q3" s="19">
        <v>5</v>
      </c>
      <c r="R3" s="19" t="s">
        <v>28</v>
      </c>
      <c r="S3" s="19">
        <v>3</v>
      </c>
      <c r="T3" s="19">
        <v>4</v>
      </c>
      <c r="U3" s="19">
        <v>5</v>
      </c>
    </row>
    <row r="4" spans="1:21" ht="51" x14ac:dyDescent="0.25">
      <c r="A4" s="103" t="s">
        <v>30</v>
      </c>
      <c r="B4" s="103"/>
      <c r="C4" s="103"/>
      <c r="D4" s="103"/>
      <c r="E4" s="103"/>
      <c r="F4" s="103"/>
      <c r="G4" s="103"/>
      <c r="H4" s="103"/>
      <c r="I4" s="103"/>
      <c r="J4" s="103"/>
      <c r="K4" s="103"/>
      <c r="L4" s="103"/>
      <c r="M4" s="103"/>
      <c r="N4" s="103"/>
      <c r="O4" s="103"/>
      <c r="P4" s="103"/>
      <c r="Q4" s="103"/>
      <c r="R4" s="103"/>
      <c r="S4" s="103"/>
      <c r="T4" s="103"/>
      <c r="U4" s="103"/>
    </row>
    <row r="5" spans="1:21" ht="15" customHeight="1" x14ac:dyDescent="0.25">
      <c r="A5" s="9" t="s">
        <v>172</v>
      </c>
      <c r="B5" s="9"/>
      <c r="C5" s="9"/>
      <c r="D5" s="9"/>
      <c r="E5" s="243" t="s">
        <v>137</v>
      </c>
      <c r="F5" s="10"/>
      <c r="G5" s="10"/>
      <c r="H5" s="10"/>
      <c r="I5" s="243" t="s">
        <v>137</v>
      </c>
      <c r="J5" s="10"/>
      <c r="K5" s="10"/>
      <c r="L5" s="10"/>
      <c r="M5" s="243" t="s">
        <v>137</v>
      </c>
      <c r="N5" s="10"/>
      <c r="O5" s="11"/>
      <c r="P5" s="10"/>
      <c r="Q5" s="243" t="s">
        <v>137</v>
      </c>
      <c r="R5" s="10"/>
      <c r="S5" s="10"/>
      <c r="T5" s="10"/>
      <c r="U5" s="243" t="s">
        <v>137</v>
      </c>
    </row>
    <row r="6" spans="1:21" x14ac:dyDescent="0.25">
      <c r="A6" s="15" t="s">
        <v>178</v>
      </c>
      <c r="B6" s="21">
        <f t="shared" ref="B6" si="0">C6/D6</f>
        <v>0.5</v>
      </c>
      <c r="C6" s="11">
        <v>2</v>
      </c>
      <c r="D6" s="15">
        <f>'Оплата труда'!E$3</f>
        <v>4</v>
      </c>
      <c r="E6" s="243"/>
      <c r="F6" s="21">
        <f t="shared" ref="F6" si="1">G6/H6</f>
        <v>0.33333333333333331</v>
      </c>
      <c r="G6" s="11">
        <f>C6</f>
        <v>2</v>
      </c>
      <c r="H6" s="15">
        <f>'Оплата труда'!H$3</f>
        <v>6</v>
      </c>
      <c r="I6" s="243"/>
      <c r="J6" s="21">
        <f t="shared" ref="J6" si="2">K6/L6</f>
        <v>0.2</v>
      </c>
      <c r="K6" s="11">
        <f>G6</f>
        <v>2</v>
      </c>
      <c r="L6" s="15">
        <f>'Оплата труда'!K$3</f>
        <v>10</v>
      </c>
      <c r="M6" s="243"/>
      <c r="N6" s="21">
        <f t="shared" ref="N6" si="3">O6/P6</f>
        <v>0.14285714285714285</v>
      </c>
      <c r="O6" s="11">
        <f>K6</f>
        <v>2</v>
      </c>
      <c r="P6" s="15">
        <f>'Оплата труда'!N$3</f>
        <v>14</v>
      </c>
      <c r="Q6" s="243"/>
      <c r="R6" s="21">
        <f t="shared" ref="R6" si="4">S6/T6</f>
        <v>0.14285714285714285</v>
      </c>
      <c r="S6" s="11">
        <f>O6</f>
        <v>2</v>
      </c>
      <c r="T6" s="15">
        <f>'Оплата труда'!Q$3</f>
        <v>14</v>
      </c>
      <c r="U6" s="243"/>
    </row>
    <row r="7" spans="1:21" ht="15" customHeight="1" x14ac:dyDescent="0.25">
      <c r="A7" s="15" t="s">
        <v>179</v>
      </c>
      <c r="B7" s="21">
        <f t="shared" ref="B7:B9" si="5">C7/D7</f>
        <v>7.5</v>
      </c>
      <c r="C7" s="11">
        <v>30</v>
      </c>
      <c r="D7" s="15">
        <f>'Оплата труда'!E$3</f>
        <v>4</v>
      </c>
      <c r="E7" s="243"/>
      <c r="F7" s="21">
        <f t="shared" ref="F7:F9" si="6">G7/H7</f>
        <v>5</v>
      </c>
      <c r="G7" s="11">
        <f>C7</f>
        <v>30</v>
      </c>
      <c r="H7" s="15">
        <f>'Оплата труда'!H$3</f>
        <v>6</v>
      </c>
      <c r="I7" s="243"/>
      <c r="J7" s="21">
        <f t="shared" ref="J7:J9" si="7">K7/L7</f>
        <v>3</v>
      </c>
      <c r="K7" s="11">
        <f>G7</f>
        <v>30</v>
      </c>
      <c r="L7" s="15">
        <f>'Оплата труда'!K$3</f>
        <v>10</v>
      </c>
      <c r="M7" s="243"/>
      <c r="N7" s="21">
        <f t="shared" ref="N7:N9" si="8">O7/P7</f>
        <v>2.1428571428571428</v>
      </c>
      <c r="O7" s="11">
        <f>K7</f>
        <v>30</v>
      </c>
      <c r="P7" s="15">
        <f>'Оплата труда'!N$3</f>
        <v>14</v>
      </c>
      <c r="Q7" s="243"/>
      <c r="R7" s="21">
        <f t="shared" ref="R7:R9" si="9">S7/T7</f>
        <v>2.1428571428571428</v>
      </c>
      <c r="S7" s="11">
        <f>O7</f>
        <v>30</v>
      </c>
      <c r="T7" s="15">
        <f>'Оплата труда'!Q$3</f>
        <v>14</v>
      </c>
      <c r="U7" s="243"/>
    </row>
    <row r="8" spans="1:21" ht="46.5" customHeight="1" x14ac:dyDescent="0.25">
      <c r="A8" s="15" t="s">
        <v>180</v>
      </c>
      <c r="B8" s="21">
        <f t="shared" si="5"/>
        <v>0.25</v>
      </c>
      <c r="C8" s="11">
        <v>1</v>
      </c>
      <c r="D8" s="15">
        <f>'Оплата труда'!E$3</f>
        <v>4</v>
      </c>
      <c r="E8" s="243"/>
      <c r="F8" s="21">
        <f t="shared" si="6"/>
        <v>0.16666666666666666</v>
      </c>
      <c r="G8" s="11">
        <f t="shared" ref="G8:G13" si="10">C8</f>
        <v>1</v>
      </c>
      <c r="H8" s="15">
        <f>'Оплата труда'!H$3</f>
        <v>6</v>
      </c>
      <c r="I8" s="243"/>
      <c r="J8" s="21">
        <f t="shared" si="7"/>
        <v>0.1</v>
      </c>
      <c r="K8" s="11">
        <f t="shared" ref="K8:K9" si="11">G8</f>
        <v>1</v>
      </c>
      <c r="L8" s="15">
        <f>'Оплата труда'!K$3</f>
        <v>10</v>
      </c>
      <c r="M8" s="243"/>
      <c r="N8" s="21">
        <f t="shared" si="8"/>
        <v>7.1428571428571425E-2</v>
      </c>
      <c r="O8" s="11">
        <f t="shared" ref="O8:O9" si="12">K8</f>
        <v>1</v>
      </c>
      <c r="P8" s="15">
        <f>'Оплата труда'!N$3</f>
        <v>14</v>
      </c>
      <c r="Q8" s="243"/>
      <c r="R8" s="21">
        <f t="shared" si="9"/>
        <v>7.1428571428571425E-2</v>
      </c>
      <c r="S8" s="11">
        <f t="shared" ref="S8:S9" si="13">O8</f>
        <v>1</v>
      </c>
      <c r="T8" s="15">
        <f>'Оплата труда'!Q$3</f>
        <v>14</v>
      </c>
      <c r="U8" s="243"/>
    </row>
    <row r="9" spans="1:21" ht="15" customHeight="1" x14ac:dyDescent="0.25">
      <c r="A9" s="15" t="s">
        <v>181</v>
      </c>
      <c r="B9" s="21">
        <f t="shared" si="5"/>
        <v>7.5</v>
      </c>
      <c r="C9" s="11">
        <v>30</v>
      </c>
      <c r="D9" s="15">
        <f>'Оплата труда'!E$3</f>
        <v>4</v>
      </c>
      <c r="E9" s="243"/>
      <c r="F9" s="21">
        <f t="shared" si="6"/>
        <v>5</v>
      </c>
      <c r="G9" s="11">
        <f t="shared" si="10"/>
        <v>30</v>
      </c>
      <c r="H9" s="15">
        <f>'Оплата труда'!H$3</f>
        <v>6</v>
      </c>
      <c r="I9" s="243"/>
      <c r="J9" s="21">
        <f t="shared" si="7"/>
        <v>3</v>
      </c>
      <c r="K9" s="11">
        <f t="shared" si="11"/>
        <v>30</v>
      </c>
      <c r="L9" s="15">
        <f>'Оплата труда'!K$3</f>
        <v>10</v>
      </c>
      <c r="M9" s="243"/>
      <c r="N9" s="21">
        <f t="shared" si="8"/>
        <v>2.1428571428571428</v>
      </c>
      <c r="O9" s="11">
        <f t="shared" si="12"/>
        <v>30</v>
      </c>
      <c r="P9" s="15">
        <f>'Оплата труда'!N$3</f>
        <v>14</v>
      </c>
      <c r="Q9" s="243"/>
      <c r="R9" s="21">
        <f t="shared" si="9"/>
        <v>2.1428571428571428</v>
      </c>
      <c r="S9" s="11">
        <f t="shared" si="13"/>
        <v>30</v>
      </c>
      <c r="T9" s="15">
        <f>'Оплата труда'!Q$3</f>
        <v>14</v>
      </c>
      <c r="U9" s="243"/>
    </row>
    <row r="10" spans="1:21" ht="27" customHeight="1" x14ac:dyDescent="0.25">
      <c r="A10" s="9" t="s">
        <v>173</v>
      </c>
      <c r="B10" s="21"/>
      <c r="C10" s="15"/>
      <c r="D10" s="15"/>
      <c r="E10" s="243"/>
      <c r="F10" s="21"/>
      <c r="G10" s="15"/>
      <c r="H10" s="15"/>
      <c r="I10" s="243"/>
      <c r="J10" s="21"/>
      <c r="K10" s="15"/>
      <c r="L10" s="15"/>
      <c r="M10" s="243"/>
      <c r="N10" s="21"/>
      <c r="O10" s="15"/>
      <c r="P10" s="15"/>
      <c r="Q10" s="243"/>
      <c r="R10" s="21"/>
      <c r="S10" s="15"/>
      <c r="T10" s="15"/>
      <c r="U10" s="243"/>
    </row>
    <row r="11" spans="1:21" x14ac:dyDescent="0.25">
      <c r="A11" s="15" t="s">
        <v>182</v>
      </c>
      <c r="B11" s="21">
        <f t="shared" ref="B11" si="14">C11/D11</f>
        <v>0.75</v>
      </c>
      <c r="C11" s="15">
        <v>3</v>
      </c>
      <c r="D11" s="15">
        <f>'Оплата труда'!E$3</f>
        <v>4</v>
      </c>
      <c r="E11" s="243"/>
      <c r="F11" s="21">
        <f t="shared" ref="F11" si="15">G11/H11</f>
        <v>0.5</v>
      </c>
      <c r="G11" s="11">
        <f t="shared" si="10"/>
        <v>3</v>
      </c>
      <c r="H11" s="15">
        <f>'Оплата труда'!H$3</f>
        <v>6</v>
      </c>
      <c r="I11" s="243"/>
      <c r="J11" s="21">
        <f t="shared" ref="J11" si="16">K11/L11</f>
        <v>0.3</v>
      </c>
      <c r="K11" s="11">
        <f t="shared" ref="K11:K13" si="17">G11</f>
        <v>3</v>
      </c>
      <c r="L11" s="15">
        <f>'Оплата труда'!K$3</f>
        <v>10</v>
      </c>
      <c r="M11" s="243"/>
      <c r="N11" s="21">
        <f t="shared" ref="N11" si="18">O11/P11</f>
        <v>0.21428571428571427</v>
      </c>
      <c r="O11" s="11">
        <f t="shared" ref="O11:O13" si="19">K11</f>
        <v>3</v>
      </c>
      <c r="P11" s="15">
        <f>'Оплата труда'!N$3</f>
        <v>14</v>
      </c>
      <c r="Q11" s="243"/>
      <c r="R11" s="21">
        <f t="shared" ref="R11" si="20">S11/T11</f>
        <v>0.21428571428571427</v>
      </c>
      <c r="S11" s="11">
        <f t="shared" ref="S11:S13" si="21">O11</f>
        <v>3</v>
      </c>
      <c r="T11" s="15">
        <f>'Оплата труда'!Q$3</f>
        <v>14</v>
      </c>
      <c r="U11" s="243"/>
    </row>
    <row r="12" spans="1:21" ht="25.5" x14ac:dyDescent="0.25">
      <c r="A12" s="15" t="s">
        <v>183</v>
      </c>
      <c r="B12" s="21">
        <f t="shared" ref="B12:B13" si="22">C12/D12</f>
        <v>0.75</v>
      </c>
      <c r="C12" s="15">
        <v>3</v>
      </c>
      <c r="D12" s="15">
        <f>'Оплата труда'!E$3</f>
        <v>4</v>
      </c>
      <c r="E12" s="243"/>
      <c r="F12" s="21">
        <f t="shared" ref="F12:F13" si="23">G12/H12</f>
        <v>0.5</v>
      </c>
      <c r="G12" s="11">
        <f t="shared" si="10"/>
        <v>3</v>
      </c>
      <c r="H12" s="15">
        <f>'Оплата труда'!H$3</f>
        <v>6</v>
      </c>
      <c r="I12" s="243"/>
      <c r="J12" s="21">
        <f t="shared" ref="J12:J13" si="24">K12/L12</f>
        <v>0.3</v>
      </c>
      <c r="K12" s="11">
        <f t="shared" si="17"/>
        <v>3</v>
      </c>
      <c r="L12" s="15">
        <f>'Оплата труда'!K$3</f>
        <v>10</v>
      </c>
      <c r="M12" s="243"/>
      <c r="N12" s="21">
        <f t="shared" ref="N12:N13" si="25">O12/P12</f>
        <v>0.21428571428571427</v>
      </c>
      <c r="O12" s="11">
        <f t="shared" si="19"/>
        <v>3</v>
      </c>
      <c r="P12" s="15">
        <f>'Оплата труда'!N$3</f>
        <v>14</v>
      </c>
      <c r="Q12" s="243"/>
      <c r="R12" s="21">
        <f t="shared" ref="R12:R13" si="26">S12/T12</f>
        <v>0.21428571428571427</v>
      </c>
      <c r="S12" s="11">
        <f t="shared" si="21"/>
        <v>3</v>
      </c>
      <c r="T12" s="15">
        <f>'Оплата труда'!Q$3</f>
        <v>14</v>
      </c>
      <c r="U12" s="243"/>
    </row>
    <row r="13" spans="1:21" x14ac:dyDescent="0.25">
      <c r="A13" s="15" t="s">
        <v>184</v>
      </c>
      <c r="B13" s="21">
        <f t="shared" si="22"/>
        <v>1</v>
      </c>
      <c r="C13" s="15">
        <v>4</v>
      </c>
      <c r="D13" s="15">
        <f>'Оплата труда'!E$3</f>
        <v>4</v>
      </c>
      <c r="E13" s="243"/>
      <c r="F13" s="21">
        <f t="shared" si="23"/>
        <v>0.66666666666666663</v>
      </c>
      <c r="G13" s="11">
        <f t="shared" si="10"/>
        <v>4</v>
      </c>
      <c r="H13" s="15">
        <f>'Оплата труда'!H$3</f>
        <v>6</v>
      </c>
      <c r="I13" s="243"/>
      <c r="J13" s="21">
        <f t="shared" si="24"/>
        <v>0.4</v>
      </c>
      <c r="K13" s="11">
        <f t="shared" si="17"/>
        <v>4</v>
      </c>
      <c r="L13" s="15">
        <f>'Оплата труда'!K$3</f>
        <v>10</v>
      </c>
      <c r="M13" s="243"/>
      <c r="N13" s="21">
        <f t="shared" si="25"/>
        <v>0.2857142857142857</v>
      </c>
      <c r="O13" s="11">
        <f t="shared" si="19"/>
        <v>4</v>
      </c>
      <c r="P13" s="15">
        <f>'Оплата труда'!N$3</f>
        <v>14</v>
      </c>
      <c r="Q13" s="243"/>
      <c r="R13" s="21">
        <f t="shared" si="26"/>
        <v>0.2857142857142857</v>
      </c>
      <c r="S13" s="11">
        <f t="shared" si="21"/>
        <v>4</v>
      </c>
      <c r="T13" s="15">
        <f>'Оплата труда'!Q$3</f>
        <v>14</v>
      </c>
      <c r="U13" s="243"/>
    </row>
    <row r="14" spans="1:21" ht="40.5" x14ac:dyDescent="0.25">
      <c r="A14" s="9" t="s">
        <v>188</v>
      </c>
      <c r="B14" s="21"/>
      <c r="C14" s="15"/>
      <c r="D14" s="15"/>
      <c r="E14" s="243"/>
      <c r="F14" s="21"/>
      <c r="G14" s="15"/>
      <c r="H14" s="15"/>
      <c r="I14" s="243"/>
      <c r="J14" s="21"/>
      <c r="K14" s="15"/>
      <c r="L14" s="15"/>
      <c r="M14" s="243"/>
      <c r="N14" s="21"/>
      <c r="O14" s="15"/>
      <c r="P14" s="15"/>
      <c r="Q14" s="243"/>
      <c r="R14" s="21"/>
      <c r="S14" s="15"/>
      <c r="T14" s="15"/>
      <c r="U14" s="243"/>
    </row>
    <row r="15" spans="1:21" x14ac:dyDescent="0.25">
      <c r="A15" s="15" t="s">
        <v>185</v>
      </c>
      <c r="B15" s="21">
        <f t="shared" ref="B15:B17" si="27">C15/D15</f>
        <v>5</v>
      </c>
      <c r="C15" s="15">
        <v>5</v>
      </c>
      <c r="D15" s="15">
        <v>1</v>
      </c>
      <c r="E15" s="243"/>
      <c r="F15" s="21">
        <f t="shared" ref="F15:F17" si="28">G15/H15</f>
        <v>3</v>
      </c>
      <c r="G15" s="15">
        <v>3</v>
      </c>
      <c r="H15" s="15">
        <v>1</v>
      </c>
      <c r="I15" s="243"/>
      <c r="J15" s="21">
        <f t="shared" ref="J15:J17" si="29">K15/L15</f>
        <v>2</v>
      </c>
      <c r="K15" s="113">
        <v>2</v>
      </c>
      <c r="L15" s="15">
        <v>1</v>
      </c>
      <c r="M15" s="243"/>
      <c r="N15" s="21">
        <f t="shared" ref="N15:N17" si="30">O15/P15</f>
        <v>0</v>
      </c>
      <c r="O15" s="113">
        <v>0</v>
      </c>
      <c r="P15" s="15">
        <v>1</v>
      </c>
      <c r="Q15" s="243"/>
      <c r="R15" s="21">
        <f t="shared" ref="R15:R17" si="31">S15/T15</f>
        <v>0</v>
      </c>
      <c r="S15" s="15">
        <v>0</v>
      </c>
      <c r="T15" s="15">
        <v>1</v>
      </c>
      <c r="U15" s="243"/>
    </row>
    <row r="16" spans="1:21" x14ac:dyDescent="0.25">
      <c r="A16" s="15" t="s">
        <v>186</v>
      </c>
      <c r="B16" s="21">
        <f t="shared" si="27"/>
        <v>5</v>
      </c>
      <c r="C16" s="15">
        <v>5</v>
      </c>
      <c r="D16" s="15">
        <v>1</v>
      </c>
      <c r="E16" s="243"/>
      <c r="F16" s="21">
        <f t="shared" si="28"/>
        <v>3</v>
      </c>
      <c r="G16" s="15">
        <v>3</v>
      </c>
      <c r="H16" s="15">
        <v>1</v>
      </c>
      <c r="I16" s="243"/>
      <c r="J16" s="21">
        <f t="shared" si="29"/>
        <v>2</v>
      </c>
      <c r="K16" s="113">
        <v>2</v>
      </c>
      <c r="L16" s="15">
        <v>1</v>
      </c>
      <c r="M16" s="243"/>
      <c r="N16" s="21">
        <f t="shared" si="30"/>
        <v>0</v>
      </c>
      <c r="O16" s="113">
        <v>0</v>
      </c>
      <c r="P16" s="15">
        <v>1</v>
      </c>
      <c r="Q16" s="243"/>
      <c r="R16" s="21">
        <f t="shared" si="31"/>
        <v>0</v>
      </c>
      <c r="S16" s="15">
        <v>0</v>
      </c>
      <c r="T16" s="15">
        <v>1</v>
      </c>
      <c r="U16" s="243"/>
    </row>
    <row r="17" spans="1:21" x14ac:dyDescent="0.25">
      <c r="A17" s="15" t="s">
        <v>187</v>
      </c>
      <c r="B17" s="21">
        <f t="shared" si="27"/>
        <v>20</v>
      </c>
      <c r="C17" s="15">
        <v>20</v>
      </c>
      <c r="D17" s="15">
        <v>1</v>
      </c>
      <c r="E17" s="243"/>
      <c r="F17" s="21">
        <f t="shared" si="28"/>
        <v>15</v>
      </c>
      <c r="G17" s="15">
        <v>15</v>
      </c>
      <c r="H17" s="15">
        <v>1</v>
      </c>
      <c r="I17" s="243"/>
      <c r="J17" s="21">
        <f t="shared" si="29"/>
        <v>10</v>
      </c>
      <c r="K17" s="113">
        <v>10</v>
      </c>
      <c r="L17" s="15">
        <v>1</v>
      </c>
      <c r="M17" s="243"/>
      <c r="N17" s="21">
        <f t="shared" si="30"/>
        <v>0</v>
      </c>
      <c r="O17" s="113">
        <v>0</v>
      </c>
      <c r="P17" s="15">
        <v>1</v>
      </c>
      <c r="Q17" s="243"/>
      <c r="R17" s="21">
        <f t="shared" si="31"/>
        <v>0</v>
      </c>
      <c r="S17" s="15">
        <v>0</v>
      </c>
      <c r="T17" s="15">
        <v>1</v>
      </c>
      <c r="U17" s="243"/>
    </row>
    <row r="18" spans="1:21" ht="27" customHeight="1" x14ac:dyDescent="0.25">
      <c r="A18" s="9" t="s">
        <v>138</v>
      </c>
      <c r="B18" s="21"/>
      <c r="C18" s="15"/>
      <c r="D18" s="15"/>
      <c r="E18" s="243" t="s">
        <v>130</v>
      </c>
      <c r="F18" s="21"/>
      <c r="G18" s="15"/>
      <c r="H18" s="15"/>
      <c r="I18" s="243" t="s">
        <v>130</v>
      </c>
      <c r="J18" s="21"/>
      <c r="K18" s="15"/>
      <c r="L18" s="15"/>
      <c r="M18" s="243" t="s">
        <v>130</v>
      </c>
      <c r="N18" s="21"/>
      <c r="O18" s="15"/>
      <c r="P18" s="15"/>
      <c r="Q18" s="243" t="s">
        <v>130</v>
      </c>
      <c r="R18" s="21"/>
      <c r="S18" s="15"/>
      <c r="T18" s="15"/>
      <c r="U18" s="243" t="s">
        <v>130</v>
      </c>
    </row>
    <row r="19" spans="1:21" x14ac:dyDescent="0.25">
      <c r="A19" s="15" t="s">
        <v>189</v>
      </c>
      <c r="B19" s="21">
        <f t="shared" ref="B19:B21" si="32">C19/D19</f>
        <v>4</v>
      </c>
      <c r="C19" s="15">
        <v>4</v>
      </c>
      <c r="D19" s="15">
        <v>1</v>
      </c>
      <c r="E19" s="243"/>
      <c r="F19" s="21">
        <f t="shared" ref="F19:F21" si="33">G19/H19</f>
        <v>2</v>
      </c>
      <c r="G19" s="15">
        <v>2</v>
      </c>
      <c r="H19" s="15">
        <v>1</v>
      </c>
      <c r="I19" s="243"/>
      <c r="J19" s="21">
        <f t="shared" ref="J19:J21" si="34">K19/L19</f>
        <v>2</v>
      </c>
      <c r="K19" s="113">
        <v>2</v>
      </c>
      <c r="L19" s="15">
        <v>1</v>
      </c>
      <c r="M19" s="243"/>
      <c r="N19" s="21">
        <f t="shared" ref="N19:N21" si="35">O19/P19</f>
        <v>0</v>
      </c>
      <c r="O19" s="113">
        <v>0</v>
      </c>
      <c r="P19" s="15">
        <v>1</v>
      </c>
      <c r="Q19" s="243"/>
      <c r="R19" s="21">
        <f t="shared" ref="R19:R21" si="36">S19/T19</f>
        <v>0</v>
      </c>
      <c r="S19" s="15">
        <v>0</v>
      </c>
      <c r="T19" s="15">
        <v>1</v>
      </c>
      <c r="U19" s="243"/>
    </row>
    <row r="20" spans="1:21" ht="25.5" x14ac:dyDescent="0.25">
      <c r="A20" s="15" t="s">
        <v>190</v>
      </c>
      <c r="B20" s="21">
        <f t="shared" si="32"/>
        <v>1</v>
      </c>
      <c r="C20" s="15">
        <v>1</v>
      </c>
      <c r="D20" s="15">
        <v>1</v>
      </c>
      <c r="E20" s="243"/>
      <c r="F20" s="21">
        <f t="shared" si="33"/>
        <v>1</v>
      </c>
      <c r="G20" s="15">
        <v>1</v>
      </c>
      <c r="H20" s="15">
        <v>1</v>
      </c>
      <c r="I20" s="243"/>
      <c r="J20" s="21">
        <f t="shared" si="34"/>
        <v>1</v>
      </c>
      <c r="K20" s="113">
        <v>1</v>
      </c>
      <c r="L20" s="15">
        <v>1</v>
      </c>
      <c r="M20" s="243"/>
      <c r="N20" s="21">
        <f t="shared" si="35"/>
        <v>0</v>
      </c>
      <c r="O20" s="113">
        <v>0</v>
      </c>
      <c r="P20" s="15">
        <v>1</v>
      </c>
      <c r="Q20" s="243"/>
      <c r="R20" s="21">
        <f t="shared" si="36"/>
        <v>0</v>
      </c>
      <c r="S20" s="15">
        <v>0</v>
      </c>
      <c r="T20" s="15">
        <v>1</v>
      </c>
      <c r="U20" s="243"/>
    </row>
    <row r="21" spans="1:21" ht="25.5" x14ac:dyDescent="0.25">
      <c r="A21" s="15" t="s">
        <v>191</v>
      </c>
      <c r="B21" s="21">
        <f t="shared" si="32"/>
        <v>1</v>
      </c>
      <c r="C21" s="15">
        <v>1</v>
      </c>
      <c r="D21" s="15">
        <v>1</v>
      </c>
      <c r="E21" s="243"/>
      <c r="F21" s="21">
        <f t="shared" si="33"/>
        <v>1</v>
      </c>
      <c r="G21" s="15">
        <v>1</v>
      </c>
      <c r="H21" s="15">
        <v>1</v>
      </c>
      <c r="I21" s="243"/>
      <c r="J21" s="21">
        <f t="shared" si="34"/>
        <v>1</v>
      </c>
      <c r="K21" s="113">
        <v>1</v>
      </c>
      <c r="L21" s="15">
        <v>1</v>
      </c>
      <c r="M21" s="243"/>
      <c r="N21" s="21">
        <f t="shared" si="35"/>
        <v>0</v>
      </c>
      <c r="O21" s="113">
        <v>0</v>
      </c>
      <c r="P21" s="15">
        <v>1</v>
      </c>
      <c r="Q21" s="243"/>
      <c r="R21" s="21">
        <f t="shared" si="36"/>
        <v>0</v>
      </c>
      <c r="S21" s="15">
        <v>0</v>
      </c>
      <c r="T21" s="15">
        <v>1</v>
      </c>
      <c r="U21" s="243"/>
    </row>
    <row r="22" spans="1:21" ht="25.5" x14ac:dyDescent="0.25">
      <c r="A22" s="15" t="s">
        <v>192</v>
      </c>
      <c r="B22" s="21">
        <f t="shared" ref="B22:B30" si="37">C22/D22</f>
        <v>2</v>
      </c>
      <c r="C22" s="15">
        <v>2</v>
      </c>
      <c r="D22" s="15">
        <v>1</v>
      </c>
      <c r="E22" s="243"/>
      <c r="F22" s="21">
        <f t="shared" ref="F22:F30" si="38">G22/H22</f>
        <v>1</v>
      </c>
      <c r="G22" s="15">
        <v>1</v>
      </c>
      <c r="H22" s="15">
        <v>1</v>
      </c>
      <c r="I22" s="243"/>
      <c r="J22" s="21">
        <f t="shared" ref="J22:J30" si="39">K22/L22</f>
        <v>1</v>
      </c>
      <c r="K22" s="113">
        <v>1</v>
      </c>
      <c r="L22" s="15">
        <v>1</v>
      </c>
      <c r="M22" s="243"/>
      <c r="N22" s="21">
        <f t="shared" ref="N22:N30" si="40">O22/P22</f>
        <v>0</v>
      </c>
      <c r="O22" s="113">
        <v>0</v>
      </c>
      <c r="P22" s="15">
        <v>1</v>
      </c>
      <c r="Q22" s="243"/>
      <c r="R22" s="21">
        <f t="shared" ref="R22:R30" si="41">S22/T22</f>
        <v>0</v>
      </c>
      <c r="S22" s="15">
        <v>0</v>
      </c>
      <c r="T22" s="15">
        <v>1</v>
      </c>
      <c r="U22" s="243"/>
    </row>
    <row r="23" spans="1:21" x14ac:dyDescent="0.25">
      <c r="A23" s="15" t="s">
        <v>193</v>
      </c>
      <c r="B23" s="21">
        <f t="shared" si="37"/>
        <v>2</v>
      </c>
      <c r="C23" s="15">
        <v>2</v>
      </c>
      <c r="D23" s="15">
        <v>1</v>
      </c>
      <c r="E23" s="243"/>
      <c r="F23" s="21">
        <f t="shared" si="38"/>
        <v>1</v>
      </c>
      <c r="G23" s="15">
        <v>1</v>
      </c>
      <c r="H23" s="15">
        <v>1</v>
      </c>
      <c r="I23" s="243"/>
      <c r="J23" s="21">
        <f t="shared" si="39"/>
        <v>1</v>
      </c>
      <c r="K23" s="113">
        <v>1</v>
      </c>
      <c r="L23" s="15">
        <v>1</v>
      </c>
      <c r="M23" s="243"/>
      <c r="N23" s="21">
        <f t="shared" si="40"/>
        <v>0</v>
      </c>
      <c r="O23" s="113">
        <v>0</v>
      </c>
      <c r="P23" s="15">
        <v>1</v>
      </c>
      <c r="Q23" s="243"/>
      <c r="R23" s="21">
        <f t="shared" si="41"/>
        <v>0</v>
      </c>
      <c r="S23" s="15">
        <v>0</v>
      </c>
      <c r="T23" s="15">
        <v>1</v>
      </c>
      <c r="U23" s="243"/>
    </row>
    <row r="24" spans="1:21" x14ac:dyDescent="0.25">
      <c r="A24" s="15" t="s">
        <v>194</v>
      </c>
      <c r="B24" s="21">
        <f t="shared" si="37"/>
        <v>2</v>
      </c>
      <c r="C24" s="15">
        <v>2</v>
      </c>
      <c r="D24" s="15">
        <v>1</v>
      </c>
      <c r="E24" s="243"/>
      <c r="F24" s="21">
        <f t="shared" si="38"/>
        <v>2</v>
      </c>
      <c r="G24" s="15">
        <v>2</v>
      </c>
      <c r="H24" s="15">
        <v>1</v>
      </c>
      <c r="I24" s="243"/>
      <c r="J24" s="21">
        <f t="shared" si="39"/>
        <v>1</v>
      </c>
      <c r="K24" s="113">
        <v>1</v>
      </c>
      <c r="L24" s="15">
        <v>1</v>
      </c>
      <c r="M24" s="243"/>
      <c r="N24" s="21">
        <f t="shared" si="40"/>
        <v>0</v>
      </c>
      <c r="O24" s="113">
        <v>0</v>
      </c>
      <c r="P24" s="15">
        <v>1</v>
      </c>
      <c r="Q24" s="243"/>
      <c r="R24" s="21">
        <f t="shared" si="41"/>
        <v>0</v>
      </c>
      <c r="S24" s="15">
        <v>0</v>
      </c>
      <c r="T24" s="15">
        <v>1</v>
      </c>
      <c r="U24" s="243"/>
    </row>
    <row r="25" spans="1:21" x14ac:dyDescent="0.25">
      <c r="A25" s="15" t="s">
        <v>195</v>
      </c>
      <c r="B25" s="21">
        <f t="shared" si="37"/>
        <v>1</v>
      </c>
      <c r="C25" s="15">
        <v>1</v>
      </c>
      <c r="D25" s="15">
        <v>1</v>
      </c>
      <c r="E25" s="243"/>
      <c r="F25" s="21">
        <f t="shared" si="38"/>
        <v>1</v>
      </c>
      <c r="G25" s="15">
        <v>1</v>
      </c>
      <c r="H25" s="15">
        <v>1</v>
      </c>
      <c r="I25" s="243"/>
      <c r="J25" s="21">
        <f t="shared" si="39"/>
        <v>1</v>
      </c>
      <c r="K25" s="113">
        <v>1</v>
      </c>
      <c r="L25" s="15">
        <v>1</v>
      </c>
      <c r="M25" s="243"/>
      <c r="N25" s="21">
        <f t="shared" si="40"/>
        <v>0</v>
      </c>
      <c r="O25" s="113">
        <v>0</v>
      </c>
      <c r="P25" s="15">
        <v>1</v>
      </c>
      <c r="Q25" s="243"/>
      <c r="R25" s="21">
        <f t="shared" si="41"/>
        <v>0</v>
      </c>
      <c r="S25" s="15">
        <v>0</v>
      </c>
      <c r="T25" s="15">
        <v>1</v>
      </c>
      <c r="U25" s="243"/>
    </row>
    <row r="26" spans="1:21" x14ac:dyDescent="0.25">
      <c r="A26" s="15" t="s">
        <v>196</v>
      </c>
      <c r="B26" s="21">
        <f t="shared" si="37"/>
        <v>1</v>
      </c>
      <c r="C26" s="15">
        <v>1</v>
      </c>
      <c r="D26" s="15">
        <v>1</v>
      </c>
      <c r="E26" s="243"/>
      <c r="F26" s="21">
        <f t="shared" si="38"/>
        <v>1</v>
      </c>
      <c r="G26" s="15">
        <v>1</v>
      </c>
      <c r="H26" s="15">
        <v>1</v>
      </c>
      <c r="I26" s="243"/>
      <c r="J26" s="21">
        <f t="shared" si="39"/>
        <v>1</v>
      </c>
      <c r="K26" s="113">
        <v>1</v>
      </c>
      <c r="L26" s="15">
        <v>1</v>
      </c>
      <c r="M26" s="243"/>
      <c r="N26" s="21">
        <f t="shared" si="40"/>
        <v>0</v>
      </c>
      <c r="O26" s="113">
        <v>0</v>
      </c>
      <c r="P26" s="15">
        <v>1</v>
      </c>
      <c r="Q26" s="243"/>
      <c r="R26" s="21">
        <f t="shared" si="41"/>
        <v>0</v>
      </c>
      <c r="S26" s="15">
        <v>0</v>
      </c>
      <c r="T26" s="15">
        <v>1</v>
      </c>
      <c r="U26" s="243"/>
    </row>
    <row r="27" spans="1:21" x14ac:dyDescent="0.25">
      <c r="A27" s="15" t="s">
        <v>197</v>
      </c>
      <c r="B27" s="21">
        <f t="shared" si="37"/>
        <v>1</v>
      </c>
      <c r="C27" s="15">
        <v>1</v>
      </c>
      <c r="D27" s="15">
        <v>1</v>
      </c>
      <c r="E27" s="243"/>
      <c r="F27" s="21">
        <f t="shared" si="38"/>
        <v>1</v>
      </c>
      <c r="G27" s="15">
        <v>1</v>
      </c>
      <c r="H27" s="15">
        <v>1</v>
      </c>
      <c r="I27" s="243"/>
      <c r="J27" s="21">
        <f t="shared" si="39"/>
        <v>1</v>
      </c>
      <c r="K27" s="113">
        <v>1</v>
      </c>
      <c r="L27" s="15">
        <v>1</v>
      </c>
      <c r="M27" s="243"/>
      <c r="N27" s="21">
        <f t="shared" si="40"/>
        <v>0</v>
      </c>
      <c r="O27" s="113">
        <v>0</v>
      </c>
      <c r="P27" s="15">
        <v>1</v>
      </c>
      <c r="Q27" s="243"/>
      <c r="R27" s="21">
        <f t="shared" si="41"/>
        <v>0</v>
      </c>
      <c r="S27" s="15">
        <v>0</v>
      </c>
      <c r="T27" s="15">
        <v>1</v>
      </c>
      <c r="U27" s="243"/>
    </row>
    <row r="28" spans="1:21" x14ac:dyDescent="0.25">
      <c r="A28" s="15" t="s">
        <v>198</v>
      </c>
      <c r="B28" s="21">
        <f t="shared" si="37"/>
        <v>1</v>
      </c>
      <c r="C28" s="15">
        <v>1</v>
      </c>
      <c r="D28" s="15">
        <v>1</v>
      </c>
      <c r="E28" s="243"/>
      <c r="F28" s="21">
        <f t="shared" si="38"/>
        <v>1</v>
      </c>
      <c r="G28" s="15">
        <v>1</v>
      </c>
      <c r="H28" s="15">
        <v>1</v>
      </c>
      <c r="I28" s="243"/>
      <c r="J28" s="21">
        <f t="shared" si="39"/>
        <v>1</v>
      </c>
      <c r="K28" s="113">
        <v>1</v>
      </c>
      <c r="L28" s="15">
        <v>1</v>
      </c>
      <c r="M28" s="243"/>
      <c r="N28" s="21">
        <f t="shared" si="40"/>
        <v>0</v>
      </c>
      <c r="O28" s="113">
        <v>0</v>
      </c>
      <c r="P28" s="15">
        <v>1</v>
      </c>
      <c r="Q28" s="243"/>
      <c r="R28" s="21">
        <f t="shared" si="41"/>
        <v>0</v>
      </c>
      <c r="S28" s="15">
        <v>0</v>
      </c>
      <c r="T28" s="15">
        <v>1</v>
      </c>
      <c r="U28" s="243"/>
    </row>
    <row r="29" spans="1:21" x14ac:dyDescent="0.25">
      <c r="A29" s="15" t="s">
        <v>199</v>
      </c>
      <c r="B29" s="21">
        <f t="shared" si="37"/>
        <v>1</v>
      </c>
      <c r="C29" s="15">
        <v>1</v>
      </c>
      <c r="D29" s="15">
        <v>1</v>
      </c>
      <c r="E29" s="243"/>
      <c r="F29" s="21">
        <f t="shared" si="38"/>
        <v>1</v>
      </c>
      <c r="G29" s="15">
        <v>1</v>
      </c>
      <c r="H29" s="15">
        <v>1</v>
      </c>
      <c r="I29" s="243"/>
      <c r="J29" s="21">
        <f t="shared" si="39"/>
        <v>1</v>
      </c>
      <c r="K29" s="113">
        <v>1</v>
      </c>
      <c r="L29" s="15">
        <v>1</v>
      </c>
      <c r="M29" s="243"/>
      <c r="N29" s="21">
        <f t="shared" si="40"/>
        <v>0</v>
      </c>
      <c r="O29" s="113">
        <v>0</v>
      </c>
      <c r="P29" s="15">
        <v>1</v>
      </c>
      <c r="Q29" s="243"/>
      <c r="R29" s="21">
        <f t="shared" si="41"/>
        <v>0</v>
      </c>
      <c r="S29" s="15">
        <v>0</v>
      </c>
      <c r="T29" s="15">
        <v>1</v>
      </c>
      <c r="U29" s="243"/>
    </row>
    <row r="30" spans="1:21" x14ac:dyDescent="0.25">
      <c r="A30" s="15" t="s">
        <v>200</v>
      </c>
      <c r="B30" s="21">
        <f t="shared" si="37"/>
        <v>6</v>
      </c>
      <c r="C30" s="15">
        <v>6</v>
      </c>
      <c r="D30" s="15">
        <v>1</v>
      </c>
      <c r="E30" s="243"/>
      <c r="F30" s="21">
        <f t="shared" si="38"/>
        <v>4</v>
      </c>
      <c r="G30" s="15">
        <v>4</v>
      </c>
      <c r="H30" s="15">
        <v>1</v>
      </c>
      <c r="I30" s="243"/>
      <c r="J30" s="21">
        <f t="shared" si="39"/>
        <v>4</v>
      </c>
      <c r="K30" s="113">
        <v>4</v>
      </c>
      <c r="L30" s="15">
        <v>1</v>
      </c>
      <c r="M30" s="243"/>
      <c r="N30" s="21">
        <f t="shared" si="40"/>
        <v>0</v>
      </c>
      <c r="O30" s="113">
        <v>0</v>
      </c>
      <c r="P30" s="15">
        <v>1</v>
      </c>
      <c r="Q30" s="243"/>
      <c r="R30" s="21">
        <f t="shared" si="41"/>
        <v>0</v>
      </c>
      <c r="S30" s="15">
        <v>0</v>
      </c>
      <c r="T30" s="15">
        <v>1</v>
      </c>
      <c r="U30" s="243"/>
    </row>
    <row r="31" spans="1:21" x14ac:dyDescent="0.25">
      <c r="A31" s="15" t="s">
        <v>201</v>
      </c>
      <c r="B31" s="21">
        <f t="shared" ref="B31:B33" si="42">C31/D31</f>
        <v>4</v>
      </c>
      <c r="C31" s="15">
        <v>4</v>
      </c>
      <c r="D31" s="15">
        <v>1</v>
      </c>
      <c r="E31" s="243"/>
      <c r="F31" s="21">
        <f t="shared" ref="F31:F33" si="43">G31/H31</f>
        <v>2</v>
      </c>
      <c r="G31" s="15">
        <v>2</v>
      </c>
      <c r="H31" s="15">
        <v>1</v>
      </c>
      <c r="I31" s="243"/>
      <c r="J31" s="21">
        <f t="shared" ref="J31:J33" si="44">K31/L31</f>
        <v>2</v>
      </c>
      <c r="K31" s="113">
        <v>2</v>
      </c>
      <c r="L31" s="15">
        <v>1</v>
      </c>
      <c r="M31" s="243"/>
      <c r="N31" s="21">
        <f t="shared" ref="N31:N33" si="45">O31/P31</f>
        <v>1</v>
      </c>
      <c r="O31" s="113">
        <v>1</v>
      </c>
      <c r="P31" s="15">
        <v>1</v>
      </c>
      <c r="Q31" s="243"/>
      <c r="R31" s="21">
        <f t="shared" ref="R31:R33" si="46">S31/T31</f>
        <v>1</v>
      </c>
      <c r="S31" s="15">
        <v>1</v>
      </c>
      <c r="T31" s="15">
        <v>1</v>
      </c>
      <c r="U31" s="243"/>
    </row>
    <row r="32" spans="1:21" x14ac:dyDescent="0.25">
      <c r="A32" s="15" t="s">
        <v>202</v>
      </c>
      <c r="B32" s="21">
        <f t="shared" si="42"/>
        <v>1</v>
      </c>
      <c r="C32" s="15">
        <v>1</v>
      </c>
      <c r="D32" s="15">
        <v>1</v>
      </c>
      <c r="E32" s="243"/>
      <c r="F32" s="21">
        <f t="shared" si="43"/>
        <v>1</v>
      </c>
      <c r="G32" s="15">
        <v>1</v>
      </c>
      <c r="H32" s="15">
        <v>1</v>
      </c>
      <c r="I32" s="243"/>
      <c r="J32" s="21">
        <f t="shared" si="44"/>
        <v>1</v>
      </c>
      <c r="K32" s="113">
        <v>1</v>
      </c>
      <c r="L32" s="15">
        <v>1</v>
      </c>
      <c r="M32" s="243"/>
      <c r="N32" s="21">
        <f t="shared" si="45"/>
        <v>2</v>
      </c>
      <c r="O32" s="113">
        <v>2</v>
      </c>
      <c r="P32" s="15">
        <v>1</v>
      </c>
      <c r="Q32" s="243"/>
      <c r="R32" s="21">
        <f t="shared" si="46"/>
        <v>2</v>
      </c>
      <c r="S32" s="15">
        <v>2</v>
      </c>
      <c r="T32" s="15">
        <v>1</v>
      </c>
      <c r="U32" s="243"/>
    </row>
    <row r="33" spans="1:21" x14ac:dyDescent="0.25">
      <c r="A33" s="15" t="s">
        <v>203</v>
      </c>
      <c r="B33" s="21">
        <f t="shared" si="42"/>
        <v>1</v>
      </c>
      <c r="C33" s="15">
        <v>1</v>
      </c>
      <c r="D33" s="15">
        <v>1</v>
      </c>
      <c r="E33" s="243"/>
      <c r="F33" s="21">
        <f t="shared" si="43"/>
        <v>1</v>
      </c>
      <c r="G33" s="15">
        <v>1</v>
      </c>
      <c r="H33" s="15">
        <v>1</v>
      </c>
      <c r="I33" s="243"/>
      <c r="J33" s="21">
        <f t="shared" si="44"/>
        <v>1</v>
      </c>
      <c r="K33" s="113">
        <v>1</v>
      </c>
      <c r="L33" s="15">
        <v>1</v>
      </c>
      <c r="M33" s="243"/>
      <c r="N33" s="21">
        <f t="shared" si="45"/>
        <v>3</v>
      </c>
      <c r="O33" s="113">
        <v>3</v>
      </c>
      <c r="P33" s="15">
        <v>1</v>
      </c>
      <c r="Q33" s="243"/>
      <c r="R33" s="21">
        <f t="shared" si="46"/>
        <v>3</v>
      </c>
      <c r="S33" s="15">
        <v>3</v>
      </c>
      <c r="T33" s="15">
        <v>1</v>
      </c>
      <c r="U33" s="243"/>
    </row>
  </sheetData>
  <mergeCells count="15">
    <mergeCell ref="U5:U17"/>
    <mergeCell ref="E5:E17"/>
    <mergeCell ref="I5:I17"/>
    <mergeCell ref="M5:M17"/>
    <mergeCell ref="Q5:Q17"/>
    <mergeCell ref="E18:E33"/>
    <mergeCell ref="I18:I33"/>
    <mergeCell ref="M18:M33"/>
    <mergeCell ref="Q18:Q33"/>
    <mergeCell ref="U18:U33"/>
    <mergeCell ref="B1:E1"/>
    <mergeCell ref="J1:M1"/>
    <mergeCell ref="F1:I1"/>
    <mergeCell ref="R1:U1"/>
    <mergeCell ref="N1:Q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opLeftCell="F1" workbookViewId="0">
      <selection activeCell="P5" sqref="P5"/>
    </sheetView>
  </sheetViews>
  <sheetFormatPr defaultRowHeight="15" x14ac:dyDescent="0.25"/>
  <cols>
    <col min="1" max="1" width="6" customWidth="1"/>
    <col min="2" max="2" width="32.28515625" customWidth="1"/>
    <col min="3" max="3" width="11.28515625" customWidth="1"/>
    <col min="4" max="4" width="11.85546875" customWidth="1"/>
    <col min="5" max="5" width="12.85546875" customWidth="1"/>
    <col min="6" max="6" width="31" customWidth="1"/>
    <col min="7" max="7" width="11.28515625" customWidth="1"/>
    <col min="8" max="8" width="11.85546875" customWidth="1"/>
    <col min="9" max="9" width="12.85546875" customWidth="1"/>
    <col min="10" max="10" width="31" customWidth="1"/>
    <col min="11" max="11" width="11.28515625" customWidth="1"/>
    <col min="12" max="12" width="11.85546875" customWidth="1"/>
    <col min="13" max="13" width="12.85546875" customWidth="1"/>
    <col min="14" max="14" width="31" customWidth="1"/>
    <col min="15" max="15" width="11.28515625" customWidth="1"/>
    <col min="16" max="16" width="11.85546875" customWidth="1"/>
    <col min="17" max="17" width="12.85546875" customWidth="1"/>
    <col min="18" max="18" width="31" customWidth="1"/>
    <col min="19" max="19" width="11.28515625" hidden="1" customWidth="1"/>
    <col min="20" max="20" width="11.85546875" hidden="1" customWidth="1"/>
    <col min="21" max="21" width="12.85546875" hidden="1" customWidth="1"/>
    <col min="22" max="22" width="31" hidden="1" customWidth="1"/>
  </cols>
  <sheetData>
    <row r="1" spans="1:22" x14ac:dyDescent="0.25">
      <c r="C1" s="244" t="s">
        <v>18</v>
      </c>
      <c r="D1" s="244"/>
      <c r="E1" s="244"/>
      <c r="F1" s="244"/>
      <c r="G1" s="244" t="s">
        <v>19</v>
      </c>
      <c r="H1" s="244"/>
      <c r="I1" s="244"/>
      <c r="J1" s="244"/>
      <c r="K1" s="244" t="s">
        <v>20</v>
      </c>
      <c r="L1" s="244"/>
      <c r="M1" s="244"/>
      <c r="N1" s="244"/>
      <c r="O1" s="244" t="s">
        <v>21</v>
      </c>
      <c r="P1" s="244"/>
      <c r="Q1" s="244"/>
      <c r="R1" s="244"/>
      <c r="S1" s="244" t="s">
        <v>22</v>
      </c>
      <c r="T1" s="244"/>
      <c r="U1" s="244"/>
      <c r="V1" s="244"/>
    </row>
    <row r="2" spans="1:22" ht="75" customHeight="1" x14ac:dyDescent="0.25">
      <c r="A2" s="6" t="s">
        <v>0</v>
      </c>
      <c r="B2" s="6" t="s">
        <v>102</v>
      </c>
      <c r="C2" s="6" t="s">
        <v>2</v>
      </c>
      <c r="D2" s="6" t="s">
        <v>3</v>
      </c>
      <c r="E2" s="6" t="s">
        <v>4</v>
      </c>
      <c r="F2" s="6" t="s">
        <v>5</v>
      </c>
      <c r="G2" s="45" t="s">
        <v>2</v>
      </c>
      <c r="H2" s="45" t="s">
        <v>3</v>
      </c>
      <c r="I2" s="45" t="s">
        <v>4</v>
      </c>
      <c r="J2" s="45" t="s">
        <v>5</v>
      </c>
      <c r="K2" s="45" t="s">
        <v>2</v>
      </c>
      <c r="L2" s="45" t="s">
        <v>3</v>
      </c>
      <c r="M2" s="45" t="s">
        <v>4</v>
      </c>
      <c r="N2" s="45" t="s">
        <v>5</v>
      </c>
      <c r="O2" s="45" t="s">
        <v>2</v>
      </c>
      <c r="P2" s="45" t="s">
        <v>3</v>
      </c>
      <c r="Q2" s="45" t="s">
        <v>4</v>
      </c>
      <c r="R2" s="45" t="s">
        <v>5</v>
      </c>
      <c r="S2" s="45" t="s">
        <v>2</v>
      </c>
      <c r="T2" s="45" t="s">
        <v>3</v>
      </c>
      <c r="U2" s="45" t="s">
        <v>4</v>
      </c>
      <c r="V2" s="45" t="s">
        <v>5</v>
      </c>
    </row>
    <row r="3" spans="1:22" x14ac:dyDescent="0.25">
      <c r="A3" s="20"/>
      <c r="B3" s="20">
        <v>1</v>
      </c>
      <c r="C3" s="20" t="s">
        <v>28</v>
      </c>
      <c r="D3" s="20">
        <v>3</v>
      </c>
      <c r="E3" s="20">
        <v>4</v>
      </c>
      <c r="F3" s="20">
        <v>5</v>
      </c>
      <c r="G3" s="20" t="s">
        <v>28</v>
      </c>
      <c r="H3" s="20">
        <v>3</v>
      </c>
      <c r="I3" s="20">
        <v>4</v>
      </c>
      <c r="J3" s="20">
        <v>5</v>
      </c>
      <c r="K3" s="20" t="s">
        <v>28</v>
      </c>
      <c r="L3" s="20">
        <v>3</v>
      </c>
      <c r="M3" s="20">
        <v>4</v>
      </c>
      <c r="N3" s="20">
        <v>5</v>
      </c>
      <c r="O3" s="20" t="s">
        <v>28</v>
      </c>
      <c r="P3" s="20">
        <v>3</v>
      </c>
      <c r="Q3" s="20">
        <v>4</v>
      </c>
      <c r="R3" s="20">
        <v>5</v>
      </c>
      <c r="S3" s="20" t="s">
        <v>28</v>
      </c>
      <c r="T3" s="20">
        <v>3</v>
      </c>
      <c r="U3" s="20">
        <v>4</v>
      </c>
      <c r="V3" s="20">
        <v>5</v>
      </c>
    </row>
    <row r="4" spans="1:22" ht="38.25" customHeight="1" x14ac:dyDescent="0.25">
      <c r="A4" s="47"/>
      <c r="B4" s="248" t="s">
        <v>31</v>
      </c>
      <c r="C4" s="248"/>
      <c r="D4" s="248"/>
      <c r="E4" s="248"/>
      <c r="F4" s="248"/>
      <c r="G4" s="47"/>
      <c r="H4" s="47"/>
      <c r="I4" s="47"/>
      <c r="J4" s="47"/>
      <c r="K4" s="47"/>
      <c r="L4" s="47"/>
      <c r="M4" s="47"/>
      <c r="N4" s="47"/>
      <c r="O4" s="47"/>
      <c r="P4" s="47"/>
      <c r="Q4" s="47"/>
      <c r="R4" s="47"/>
      <c r="S4" s="47"/>
      <c r="T4" s="47"/>
      <c r="U4" s="47"/>
      <c r="V4" s="47"/>
    </row>
    <row r="5" spans="1:22" ht="63.75" x14ac:dyDescent="0.25">
      <c r="A5" s="47"/>
      <c r="B5" s="7" t="s">
        <v>32</v>
      </c>
      <c r="C5" s="22">
        <f>D5/E5</f>
        <v>8</v>
      </c>
      <c r="D5" s="7">
        <v>8</v>
      </c>
      <c r="E5" s="7">
        <v>1</v>
      </c>
      <c r="F5" s="15" t="s">
        <v>128</v>
      </c>
      <c r="G5" s="22">
        <f>H5/I5</f>
        <v>9</v>
      </c>
      <c r="H5" s="15">
        <v>9</v>
      </c>
      <c r="I5" s="15">
        <v>1</v>
      </c>
      <c r="J5" s="15" t="s">
        <v>42</v>
      </c>
      <c r="K5" s="22">
        <f>L5/M5</f>
        <v>11</v>
      </c>
      <c r="L5" s="15">
        <v>11</v>
      </c>
      <c r="M5" s="15">
        <v>1</v>
      </c>
      <c r="N5" s="15" t="s">
        <v>128</v>
      </c>
      <c r="O5" s="22">
        <f>P5/Q5</f>
        <v>2</v>
      </c>
      <c r="P5" s="15">
        <v>2</v>
      </c>
      <c r="Q5" s="15">
        <v>1</v>
      </c>
      <c r="R5" s="15" t="s">
        <v>128</v>
      </c>
      <c r="S5" s="22">
        <f>T5/U5</f>
        <v>0</v>
      </c>
      <c r="T5" s="15">
        <v>0</v>
      </c>
      <c r="U5" s="15">
        <v>1</v>
      </c>
      <c r="V5" s="245" t="s">
        <v>127</v>
      </c>
    </row>
    <row r="6" spans="1:22" ht="76.5" x14ac:dyDescent="0.25">
      <c r="A6" s="47"/>
      <c r="B6" s="7" t="s">
        <v>33</v>
      </c>
      <c r="C6" s="22">
        <f>D6/E6</f>
        <v>116</v>
      </c>
      <c r="D6" s="7">
        <v>116</v>
      </c>
      <c r="E6" s="7">
        <v>1</v>
      </c>
      <c r="F6" s="15" t="s">
        <v>129</v>
      </c>
      <c r="G6" s="22">
        <f>H6/I6</f>
        <v>173</v>
      </c>
      <c r="H6" s="15">
        <v>173</v>
      </c>
      <c r="I6" s="15">
        <v>1</v>
      </c>
      <c r="J6" s="15" t="s">
        <v>43</v>
      </c>
      <c r="K6" s="22">
        <f>L6/M6</f>
        <v>200</v>
      </c>
      <c r="L6" s="15">
        <v>200</v>
      </c>
      <c r="M6" s="15">
        <v>1</v>
      </c>
      <c r="N6" s="15" t="s">
        <v>129</v>
      </c>
      <c r="O6" s="22">
        <f>P6/Q6</f>
        <v>42</v>
      </c>
      <c r="P6" s="15">
        <v>42</v>
      </c>
      <c r="Q6" s="15">
        <v>1</v>
      </c>
      <c r="R6" s="15" t="s">
        <v>129</v>
      </c>
      <c r="S6" s="22">
        <f>T6/U6</f>
        <v>0</v>
      </c>
      <c r="T6" s="15">
        <v>0</v>
      </c>
      <c r="U6" s="15">
        <v>1</v>
      </c>
      <c r="V6" s="246"/>
    </row>
    <row r="7" spans="1:22" ht="76.5" x14ac:dyDescent="0.25">
      <c r="A7" s="47"/>
      <c r="B7" s="7" t="s">
        <v>34</v>
      </c>
      <c r="C7" s="22">
        <f>D7/E7</f>
        <v>116</v>
      </c>
      <c r="D7" s="7">
        <v>116</v>
      </c>
      <c r="E7" s="7">
        <v>1</v>
      </c>
      <c r="F7" s="15" t="s">
        <v>129</v>
      </c>
      <c r="G7" s="22">
        <f>H7/I7</f>
        <v>173</v>
      </c>
      <c r="H7" s="15">
        <v>173</v>
      </c>
      <c r="I7" s="15">
        <v>1</v>
      </c>
      <c r="J7" s="15" t="s">
        <v>43</v>
      </c>
      <c r="K7" s="22">
        <f>L7/M7</f>
        <v>200</v>
      </c>
      <c r="L7" s="15">
        <v>200</v>
      </c>
      <c r="M7" s="15">
        <v>1</v>
      </c>
      <c r="N7" s="15" t="s">
        <v>129</v>
      </c>
      <c r="O7" s="22">
        <f>P7/Q7</f>
        <v>42</v>
      </c>
      <c r="P7" s="15">
        <v>42</v>
      </c>
      <c r="Q7" s="15">
        <v>1</v>
      </c>
      <c r="R7" s="15" t="s">
        <v>129</v>
      </c>
      <c r="S7" s="22">
        <f>T7/U7</f>
        <v>0</v>
      </c>
      <c r="T7" s="15">
        <v>0</v>
      </c>
      <c r="U7" s="15">
        <v>1</v>
      </c>
      <c r="V7" s="247"/>
    </row>
  </sheetData>
  <mergeCells count="7">
    <mergeCell ref="S1:V1"/>
    <mergeCell ref="V5:V7"/>
    <mergeCell ref="B4:F4"/>
    <mergeCell ref="C1:F1"/>
    <mergeCell ref="G1:J1"/>
    <mergeCell ref="K1:N1"/>
    <mergeCell ref="O1:R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zoomScaleNormal="100" workbookViewId="0">
      <pane xSplit="2" ySplit="1" topLeftCell="C38" activePane="bottomRight" state="frozenSplit"/>
      <selection pane="topRight" activeCell="E1" sqref="E1"/>
      <selection pane="bottomLeft" activeCell="A2" sqref="A2"/>
      <selection pane="bottomRight" activeCell="H52" sqref="H52"/>
    </sheetView>
  </sheetViews>
  <sheetFormatPr defaultRowHeight="15" outlineLevelRow="1" x14ac:dyDescent="0.25"/>
  <cols>
    <col min="2" max="2" width="39.7109375" style="27" customWidth="1"/>
    <col min="3" max="4" width="19.28515625" style="27" customWidth="1"/>
    <col min="5" max="5" width="16" style="27" customWidth="1"/>
    <col min="6" max="6" width="13.28515625" style="27" customWidth="1"/>
    <col min="7" max="7" width="19.5703125" style="27" customWidth="1"/>
    <col min="8" max="8" width="18.42578125" style="27" customWidth="1"/>
    <col min="9" max="11" width="37" style="27" customWidth="1"/>
    <col min="12" max="12" width="16" customWidth="1"/>
    <col min="13" max="13" width="13.28515625" customWidth="1"/>
    <col min="14" max="14" width="19.5703125" customWidth="1"/>
    <col min="15" max="15" width="18.42578125" customWidth="1"/>
    <col min="16" max="18" width="37" customWidth="1"/>
    <col min="19" max="19" width="16" customWidth="1"/>
    <col min="20" max="20" width="13.28515625" customWidth="1"/>
    <col min="21" max="21" width="19.5703125" customWidth="1"/>
    <col min="22" max="22" width="18.42578125" customWidth="1"/>
    <col min="23" max="25" width="37" customWidth="1"/>
    <col min="26" max="26" width="16" customWidth="1"/>
    <col min="27" max="27" width="13.28515625" customWidth="1"/>
    <col min="28" max="28" width="19.5703125" customWidth="1"/>
    <col min="29" max="29" width="18.42578125" customWidth="1"/>
    <col min="30" max="30" width="37" customWidth="1"/>
    <col min="31" max="31" width="16" hidden="1" customWidth="1"/>
    <col min="32" max="32" width="13.28515625" hidden="1" customWidth="1"/>
    <col min="33" max="33" width="19.5703125" hidden="1" customWidth="1"/>
    <col min="34" max="34" width="18.42578125" hidden="1" customWidth="1"/>
    <col min="35" max="35" width="37" hidden="1" customWidth="1"/>
  </cols>
  <sheetData>
    <row r="1" spans="1:35" ht="15.75" thickBot="1" x14ac:dyDescent="0.3">
      <c r="A1" s="160"/>
      <c r="B1" s="161"/>
      <c r="C1" s="251" t="s">
        <v>18</v>
      </c>
      <c r="D1" s="252"/>
      <c r="E1" s="252"/>
      <c r="F1" s="252"/>
      <c r="G1" s="252"/>
      <c r="H1" s="252"/>
      <c r="I1" s="253"/>
      <c r="J1" s="263" t="s">
        <v>19</v>
      </c>
      <c r="K1" s="264"/>
      <c r="L1" s="264"/>
      <c r="M1" s="264"/>
      <c r="N1" s="264"/>
      <c r="O1" s="264"/>
      <c r="P1" s="264"/>
      <c r="Q1" s="262" t="s">
        <v>20</v>
      </c>
      <c r="R1" s="262"/>
      <c r="S1" s="262"/>
      <c r="T1" s="262"/>
      <c r="U1" s="262"/>
      <c r="V1" s="262"/>
      <c r="W1" s="262"/>
      <c r="X1" s="262" t="s">
        <v>21</v>
      </c>
      <c r="Y1" s="262"/>
      <c r="Z1" s="262"/>
      <c r="AA1" s="262"/>
      <c r="AB1" s="262"/>
      <c r="AC1" s="262"/>
      <c r="AD1" s="262"/>
      <c r="AE1" s="262" t="s">
        <v>22</v>
      </c>
      <c r="AF1" s="262"/>
      <c r="AG1" s="262"/>
      <c r="AH1" s="262"/>
      <c r="AI1" s="262"/>
    </row>
    <row r="2" spans="1:35" s="199" customFormat="1" ht="114.75" customHeight="1" outlineLevel="1" x14ac:dyDescent="0.25">
      <c r="A2" s="194" t="s">
        <v>0</v>
      </c>
      <c r="B2" s="195" t="s">
        <v>229</v>
      </c>
      <c r="C2" s="196" t="s">
        <v>230</v>
      </c>
      <c r="D2" s="196" t="s">
        <v>232</v>
      </c>
      <c r="E2" s="196" t="s">
        <v>228</v>
      </c>
      <c r="F2" s="196"/>
      <c r="G2" s="196" t="s">
        <v>227</v>
      </c>
      <c r="H2" s="196" t="s">
        <v>219</v>
      </c>
      <c r="I2" s="197" t="s">
        <v>5</v>
      </c>
      <c r="J2" s="196" t="s">
        <v>230</v>
      </c>
      <c r="K2" s="196" t="s">
        <v>232</v>
      </c>
      <c r="L2" s="196" t="s">
        <v>228</v>
      </c>
      <c r="M2" s="196"/>
      <c r="N2" s="196" t="s">
        <v>227</v>
      </c>
      <c r="O2" s="196" t="s">
        <v>219</v>
      </c>
      <c r="P2" s="197" t="s">
        <v>5</v>
      </c>
      <c r="Q2" s="196" t="s">
        <v>230</v>
      </c>
      <c r="R2" s="196" t="s">
        <v>232</v>
      </c>
      <c r="S2" s="196" t="s">
        <v>228</v>
      </c>
      <c r="T2" s="196"/>
      <c r="U2" s="196" t="s">
        <v>227</v>
      </c>
      <c r="V2" s="196" t="s">
        <v>219</v>
      </c>
      <c r="W2" s="197" t="s">
        <v>5</v>
      </c>
      <c r="X2" s="196" t="s">
        <v>230</v>
      </c>
      <c r="Y2" s="196" t="s">
        <v>232</v>
      </c>
      <c r="Z2" s="196" t="s">
        <v>228</v>
      </c>
      <c r="AA2" s="196"/>
      <c r="AB2" s="196" t="s">
        <v>227</v>
      </c>
      <c r="AC2" s="196" t="s">
        <v>219</v>
      </c>
      <c r="AD2" s="197" t="s">
        <v>5</v>
      </c>
      <c r="AE2" s="198" t="s">
        <v>2</v>
      </c>
      <c r="AF2" s="198" t="s">
        <v>35</v>
      </c>
      <c r="AG2" s="198" t="s">
        <v>36</v>
      </c>
      <c r="AH2" s="198" t="s">
        <v>37</v>
      </c>
      <c r="AI2" s="198" t="s">
        <v>38</v>
      </c>
    </row>
    <row r="3" spans="1:35" s="199" customFormat="1" ht="18.75" customHeight="1" outlineLevel="1" x14ac:dyDescent="0.25">
      <c r="A3" s="200">
        <v>1</v>
      </c>
      <c r="B3" s="201">
        <v>2</v>
      </c>
      <c r="C3" s="201">
        <v>3</v>
      </c>
      <c r="D3" s="201">
        <v>4</v>
      </c>
      <c r="E3" s="201">
        <v>5</v>
      </c>
      <c r="F3" s="201"/>
      <c r="G3" s="201">
        <v>6</v>
      </c>
      <c r="H3" s="201">
        <v>7</v>
      </c>
      <c r="I3" s="202">
        <v>8</v>
      </c>
      <c r="J3" s="201">
        <v>3</v>
      </c>
      <c r="K3" s="201">
        <v>4</v>
      </c>
      <c r="L3" s="201">
        <v>5</v>
      </c>
      <c r="M3" s="201"/>
      <c r="N3" s="201">
        <v>6</v>
      </c>
      <c r="O3" s="201">
        <v>7</v>
      </c>
      <c r="P3" s="202">
        <v>8</v>
      </c>
      <c r="Q3" s="201">
        <v>3</v>
      </c>
      <c r="R3" s="201">
        <v>4</v>
      </c>
      <c r="S3" s="201">
        <v>5</v>
      </c>
      <c r="T3" s="201"/>
      <c r="U3" s="201">
        <v>6</v>
      </c>
      <c r="V3" s="201">
        <v>7</v>
      </c>
      <c r="W3" s="202">
        <v>8</v>
      </c>
      <c r="X3" s="201">
        <v>3</v>
      </c>
      <c r="Y3" s="201">
        <v>4</v>
      </c>
      <c r="Z3" s="201">
        <v>5</v>
      </c>
      <c r="AA3" s="201"/>
      <c r="AB3" s="201">
        <v>6</v>
      </c>
      <c r="AC3" s="201">
        <v>7</v>
      </c>
      <c r="AD3" s="202">
        <v>8</v>
      </c>
      <c r="AE3" s="203"/>
      <c r="AF3" s="203"/>
      <c r="AG3" s="203"/>
      <c r="AH3" s="203"/>
      <c r="AI3" s="204"/>
    </row>
    <row r="4" spans="1:35" ht="15.75" customHeight="1" outlineLevel="1" x14ac:dyDescent="0.25">
      <c r="A4" s="254" t="s">
        <v>29</v>
      </c>
      <c r="B4" s="255"/>
      <c r="C4" s="255"/>
      <c r="D4" s="255"/>
      <c r="E4" s="255"/>
      <c r="F4" s="255"/>
      <c r="G4" s="255"/>
      <c r="H4" s="255"/>
      <c r="I4" s="256"/>
      <c r="J4" s="173"/>
      <c r="K4" s="173"/>
      <c r="L4" s="132"/>
      <c r="M4" s="132"/>
      <c r="N4" s="132"/>
      <c r="O4" s="132"/>
      <c r="P4" s="132"/>
      <c r="Q4" s="132"/>
      <c r="R4" s="132"/>
      <c r="S4" s="132"/>
      <c r="T4" s="132"/>
      <c r="U4" s="132"/>
      <c r="V4" s="132"/>
      <c r="W4" s="132"/>
      <c r="X4" s="132"/>
      <c r="Y4" s="132"/>
      <c r="Z4" s="132"/>
      <c r="AA4" s="132"/>
      <c r="AB4" s="132"/>
      <c r="AC4" s="132"/>
      <c r="AD4" s="132"/>
      <c r="AE4" s="132"/>
      <c r="AF4" s="132"/>
      <c r="AG4" s="132"/>
      <c r="AH4" s="132"/>
      <c r="AI4" s="133"/>
    </row>
    <row r="5" spans="1:35" ht="111.75" customHeight="1" outlineLevel="1" x14ac:dyDescent="0.25">
      <c r="A5" s="205">
        <v>1</v>
      </c>
      <c r="B5" s="21" t="s">
        <v>23</v>
      </c>
      <c r="C5" s="207">
        <f>832/1971</f>
        <v>0.42212075088787415</v>
      </c>
      <c r="D5" s="207">
        <v>4</v>
      </c>
      <c r="E5" s="207">
        <f t="shared" ref="E5:E6" si="0">C5/D5</f>
        <v>0.10553018772196854</v>
      </c>
      <c r="F5" s="208"/>
      <c r="G5" s="209">
        <f>29792*12*1.302</f>
        <v>465470.20800000004</v>
      </c>
      <c r="H5" s="24">
        <f>E5*G5</f>
        <v>49121.158429223746</v>
      </c>
      <c r="I5" s="249" t="s">
        <v>252</v>
      </c>
      <c r="J5" s="152">
        <f>728/1971</f>
        <v>0.36935565702688988</v>
      </c>
      <c r="K5" s="152">
        <v>6</v>
      </c>
      <c r="L5" s="158">
        <f t="shared" ref="L5:L6" si="1">J5/K5</f>
        <v>6.1559276171148314E-2</v>
      </c>
      <c r="M5" s="135"/>
      <c r="N5" s="12">
        <f>29792*12*1.302</f>
        <v>465470.20800000004</v>
      </c>
      <c r="O5" s="24">
        <f>L5*N5</f>
        <v>28654.009083713852</v>
      </c>
      <c r="P5" s="260" t="s">
        <v>231</v>
      </c>
      <c r="Q5" s="152">
        <f>624/1971</f>
        <v>0.31659056316590561</v>
      </c>
      <c r="R5" s="152">
        <v>10</v>
      </c>
      <c r="S5" s="158">
        <f t="shared" ref="S5:S6" si="2">Q5/R5</f>
        <v>3.1659056316590564E-2</v>
      </c>
      <c r="T5" s="135"/>
      <c r="U5" s="12">
        <f>29792*12*1.302</f>
        <v>465470.20800000004</v>
      </c>
      <c r="V5" s="24">
        <f>S5*U5</f>
        <v>14736.347528767124</v>
      </c>
      <c r="W5" s="260" t="s">
        <v>231</v>
      </c>
      <c r="X5" s="152">
        <f>364/1971</f>
        <v>0.18467782851344494</v>
      </c>
      <c r="Y5" s="152">
        <v>14</v>
      </c>
      <c r="Z5" s="158">
        <f t="shared" ref="Z5:Z6" si="3">X5/Y5</f>
        <v>1.3191273465246067E-2</v>
      </c>
      <c r="AA5" s="135"/>
      <c r="AB5" s="12">
        <f>29792*12*1.302</f>
        <v>465470.20800000004</v>
      </c>
      <c r="AC5" s="24">
        <f>Z5*AB5</f>
        <v>6140.1448036529682</v>
      </c>
      <c r="AD5" s="260" t="s">
        <v>231</v>
      </c>
      <c r="AE5" s="21">
        <f>'Оплата труда'!O3</f>
        <v>1.1306805827353772E-2</v>
      </c>
      <c r="AF5" s="44" t="s">
        <v>39</v>
      </c>
      <c r="AG5" s="12">
        <v>465470.2</v>
      </c>
      <c r="AH5" s="24">
        <f>AE5*AG5</f>
        <v>5262.9811698195263</v>
      </c>
      <c r="AI5" s="43" t="s">
        <v>44</v>
      </c>
    </row>
    <row r="6" spans="1:35" ht="103.5" customHeight="1" outlineLevel="1" x14ac:dyDescent="0.25">
      <c r="A6" s="206">
        <f>A5+1</f>
        <v>2</v>
      </c>
      <c r="B6" s="176" t="s">
        <v>24</v>
      </c>
      <c r="C6" s="210">
        <f>C5*0.17</f>
        <v>7.1760527650938613E-2</v>
      </c>
      <c r="D6" s="210">
        <f>D5</f>
        <v>4</v>
      </c>
      <c r="E6" s="210">
        <f t="shared" si="0"/>
        <v>1.7940131912734653E-2</v>
      </c>
      <c r="F6" s="211"/>
      <c r="G6" s="212">
        <f>29792*12*1.302</f>
        <v>465470.20800000004</v>
      </c>
      <c r="H6" s="24">
        <f>E6*G6</f>
        <v>8350.5969329680374</v>
      </c>
      <c r="I6" s="250"/>
      <c r="J6" s="154">
        <f>J5*0.22</f>
        <v>8.1258244545915778E-2</v>
      </c>
      <c r="K6" s="154">
        <f>K5</f>
        <v>6</v>
      </c>
      <c r="L6" s="158">
        <f t="shared" si="1"/>
        <v>1.3543040757652629E-2</v>
      </c>
      <c r="M6" s="135"/>
      <c r="N6" s="12">
        <f>29792*12*1.302</f>
        <v>465470.20800000004</v>
      </c>
      <c r="O6" s="24">
        <f>L6*N6</f>
        <v>6303.8819984170477</v>
      </c>
      <c r="P6" s="261"/>
      <c r="Q6" s="154">
        <v>0</v>
      </c>
      <c r="R6" s="154">
        <f>R5</f>
        <v>10</v>
      </c>
      <c r="S6" s="158">
        <f t="shared" si="2"/>
        <v>0</v>
      </c>
      <c r="T6" s="135"/>
      <c r="U6" s="12">
        <f>29792*12*1.302</f>
        <v>465470.20800000004</v>
      </c>
      <c r="V6" s="24">
        <f>S6*U6</f>
        <v>0</v>
      </c>
      <c r="W6" s="261"/>
      <c r="X6" s="154">
        <v>0</v>
      </c>
      <c r="Y6" s="154">
        <f>Y5</f>
        <v>14</v>
      </c>
      <c r="Z6" s="158">
        <f t="shared" si="3"/>
        <v>0</v>
      </c>
      <c r="AA6" s="135"/>
      <c r="AB6" s="12">
        <f>29792*12*1.302</f>
        <v>465470.20800000004</v>
      </c>
      <c r="AC6" s="24">
        <f>Z6*AB6</f>
        <v>0</v>
      </c>
      <c r="AD6" s="261"/>
      <c r="AE6" s="24">
        <f>'Оплата труда'!O4</f>
        <v>0</v>
      </c>
      <c r="AF6" s="44" t="s">
        <v>39</v>
      </c>
      <c r="AG6" s="12">
        <v>465470.2</v>
      </c>
      <c r="AH6" s="24">
        <f>AE6*AG6</f>
        <v>0</v>
      </c>
      <c r="AI6" s="43" t="s">
        <v>44</v>
      </c>
    </row>
    <row r="7" spans="1:35" s="199" customFormat="1" outlineLevel="1" x14ac:dyDescent="0.25">
      <c r="A7" s="213"/>
      <c r="B7" s="214"/>
      <c r="C7" s="271" t="s">
        <v>217</v>
      </c>
      <c r="D7" s="271"/>
      <c r="E7" s="271"/>
      <c r="F7" s="271"/>
      <c r="G7" s="272"/>
      <c r="H7" s="151">
        <f>SUM(H5:H6)</f>
        <v>57471.755362191783</v>
      </c>
      <c r="I7" s="216"/>
      <c r="J7" s="214"/>
      <c r="K7" s="214"/>
      <c r="L7" s="214"/>
      <c r="M7" s="214"/>
      <c r="N7" s="215" t="s">
        <v>217</v>
      </c>
      <c r="O7" s="151">
        <f>O6+O5</f>
        <v>34957.891082130896</v>
      </c>
      <c r="P7" s="216"/>
      <c r="Q7" s="270" t="s">
        <v>217</v>
      </c>
      <c r="R7" s="271"/>
      <c r="S7" s="271"/>
      <c r="T7" s="271"/>
      <c r="U7" s="272"/>
      <c r="V7" s="151">
        <f>V6+V5</f>
        <v>14736.347528767124</v>
      </c>
      <c r="W7" s="216"/>
      <c r="X7" s="270" t="s">
        <v>217</v>
      </c>
      <c r="Y7" s="271"/>
      <c r="Z7" s="271"/>
      <c r="AA7" s="271"/>
      <c r="AB7" s="272"/>
      <c r="AC7" s="151">
        <f>AC6+AC5</f>
        <v>6140.1448036529682</v>
      </c>
      <c r="AD7" s="216"/>
      <c r="AE7" s="208" t="s">
        <v>40</v>
      </c>
      <c r="AF7" s="208" t="s">
        <v>40</v>
      </c>
      <c r="AG7" s="208" t="s">
        <v>40</v>
      </c>
      <c r="AH7" s="71">
        <f>AH6+AH5</f>
        <v>5262.9811698195263</v>
      </c>
      <c r="AI7" s="208" t="s">
        <v>40</v>
      </c>
    </row>
    <row r="8" spans="1:35" s="134" customFormat="1" outlineLevel="1" collapsed="1" x14ac:dyDescent="0.25">
      <c r="A8" s="165"/>
      <c r="B8" s="177"/>
      <c r="C8" s="177"/>
      <c r="D8" s="177"/>
      <c r="E8" s="178"/>
      <c r="F8" s="178"/>
      <c r="G8" s="178"/>
      <c r="H8" s="136"/>
      <c r="I8" s="166"/>
      <c r="J8" s="174"/>
      <c r="K8" s="174"/>
      <c r="L8" s="159"/>
      <c r="M8" s="135"/>
      <c r="N8" s="135"/>
      <c r="O8" s="136"/>
      <c r="P8" s="135"/>
      <c r="Q8" s="135"/>
      <c r="R8" s="135"/>
      <c r="S8" s="135"/>
      <c r="T8" s="135"/>
      <c r="U8" s="135"/>
      <c r="V8" s="136"/>
      <c r="W8" s="135"/>
      <c r="X8" s="135"/>
      <c r="Y8" s="135"/>
      <c r="Z8" s="135"/>
      <c r="AA8" s="135"/>
      <c r="AB8" s="135"/>
      <c r="AC8" s="136"/>
      <c r="AD8" s="135"/>
      <c r="AE8" s="135"/>
      <c r="AF8" s="135"/>
      <c r="AG8" s="135"/>
      <c r="AH8" s="136"/>
      <c r="AI8" s="135"/>
    </row>
    <row r="9" spans="1:35" s="134" customFormat="1" ht="56.25" outlineLevel="1" x14ac:dyDescent="0.25">
      <c r="A9" s="162" t="s">
        <v>0</v>
      </c>
      <c r="B9" s="137" t="s">
        <v>223</v>
      </c>
      <c r="C9" s="137" t="s">
        <v>211</v>
      </c>
      <c r="D9" s="137" t="s">
        <v>4</v>
      </c>
      <c r="E9" s="130" t="s">
        <v>212</v>
      </c>
      <c r="F9" s="130" t="s">
        <v>213</v>
      </c>
      <c r="G9" s="130" t="s">
        <v>220</v>
      </c>
      <c r="H9" s="130" t="s">
        <v>219</v>
      </c>
      <c r="I9" s="163" t="s">
        <v>5</v>
      </c>
      <c r="J9" s="137" t="s">
        <v>211</v>
      </c>
      <c r="K9" s="137" t="s">
        <v>4</v>
      </c>
      <c r="L9" s="130" t="s">
        <v>212</v>
      </c>
      <c r="M9" s="130" t="s">
        <v>213</v>
      </c>
      <c r="N9" s="130" t="s">
        <v>220</v>
      </c>
      <c r="O9" s="130" t="s">
        <v>219</v>
      </c>
      <c r="P9" s="163" t="s">
        <v>5</v>
      </c>
      <c r="Q9" s="137" t="s">
        <v>211</v>
      </c>
      <c r="R9" s="137" t="s">
        <v>4</v>
      </c>
      <c r="S9" s="130" t="s">
        <v>212</v>
      </c>
      <c r="T9" s="130" t="s">
        <v>213</v>
      </c>
      <c r="U9" s="130" t="s">
        <v>220</v>
      </c>
      <c r="V9" s="130" t="s">
        <v>219</v>
      </c>
      <c r="W9" s="163" t="s">
        <v>5</v>
      </c>
      <c r="X9" s="137" t="s">
        <v>211</v>
      </c>
      <c r="Y9" s="137" t="s">
        <v>4</v>
      </c>
      <c r="Z9" s="130" t="s">
        <v>212</v>
      </c>
      <c r="AA9" s="130" t="s">
        <v>213</v>
      </c>
      <c r="AB9" s="130" t="s">
        <v>220</v>
      </c>
      <c r="AC9" s="130" t="s">
        <v>219</v>
      </c>
      <c r="AD9" s="163" t="s">
        <v>5</v>
      </c>
      <c r="AE9" s="135"/>
      <c r="AF9" s="135"/>
      <c r="AG9" s="135"/>
      <c r="AH9" s="136"/>
      <c r="AI9" s="135"/>
    </row>
    <row r="10" spans="1:35" s="134" customFormat="1" outlineLevel="1" x14ac:dyDescent="0.25">
      <c r="A10" s="164">
        <v>1</v>
      </c>
      <c r="B10" s="130">
        <v>2</v>
      </c>
      <c r="C10" s="130">
        <v>3</v>
      </c>
      <c r="D10" s="130">
        <v>4</v>
      </c>
      <c r="E10" s="130" t="s">
        <v>214</v>
      </c>
      <c r="F10" s="130">
        <v>6</v>
      </c>
      <c r="G10" s="130">
        <v>7</v>
      </c>
      <c r="H10" s="130" t="s">
        <v>215</v>
      </c>
      <c r="I10" s="163">
        <v>9</v>
      </c>
      <c r="J10" s="130">
        <v>3</v>
      </c>
      <c r="K10" s="130">
        <v>4</v>
      </c>
      <c r="L10" s="130" t="s">
        <v>214</v>
      </c>
      <c r="M10" s="130">
        <v>6</v>
      </c>
      <c r="N10" s="130">
        <v>7</v>
      </c>
      <c r="O10" s="130" t="s">
        <v>215</v>
      </c>
      <c r="P10" s="163">
        <v>9</v>
      </c>
      <c r="Q10" s="130">
        <v>3</v>
      </c>
      <c r="R10" s="130">
        <v>4</v>
      </c>
      <c r="S10" s="130" t="s">
        <v>214</v>
      </c>
      <c r="T10" s="130">
        <v>6</v>
      </c>
      <c r="U10" s="130">
        <v>7</v>
      </c>
      <c r="V10" s="130" t="s">
        <v>215</v>
      </c>
      <c r="W10" s="163">
        <v>9</v>
      </c>
      <c r="X10" s="130">
        <v>3</v>
      </c>
      <c r="Y10" s="130">
        <v>4</v>
      </c>
      <c r="Z10" s="130" t="s">
        <v>214</v>
      </c>
      <c r="AA10" s="130">
        <v>6</v>
      </c>
      <c r="AB10" s="130">
        <v>7</v>
      </c>
      <c r="AC10" s="130" t="s">
        <v>215</v>
      </c>
      <c r="AD10" s="163">
        <v>9</v>
      </c>
      <c r="AE10" s="135"/>
      <c r="AF10" s="135"/>
      <c r="AG10" s="135"/>
      <c r="AH10" s="136"/>
      <c r="AI10" s="135"/>
    </row>
    <row r="11" spans="1:35" outlineLevel="1" x14ac:dyDescent="0.25">
      <c r="A11" s="180" t="s">
        <v>30</v>
      </c>
      <c r="B11" s="181"/>
      <c r="C11" s="181"/>
      <c r="D11" s="181"/>
      <c r="E11" s="181"/>
      <c r="F11" s="181"/>
      <c r="G11" s="181"/>
      <c r="H11" s="181"/>
      <c r="I11" s="182"/>
      <c r="J11" s="181"/>
      <c r="K11" s="181"/>
      <c r="L11" s="181"/>
      <c r="M11" s="181"/>
      <c r="N11" s="181"/>
      <c r="O11" s="181"/>
      <c r="P11" s="182"/>
      <c r="Q11" s="181"/>
      <c r="R11" s="181"/>
      <c r="S11" s="181"/>
      <c r="T11" s="181"/>
      <c r="U11" s="181"/>
      <c r="V11" s="181"/>
      <c r="W11" s="182"/>
      <c r="X11" s="181"/>
      <c r="Y11" s="181"/>
      <c r="Z11" s="181"/>
      <c r="AA11" s="181"/>
      <c r="AB11" s="181"/>
      <c r="AC11" s="181"/>
      <c r="AD11" s="182"/>
      <c r="AE11" s="43"/>
      <c r="AF11" s="43"/>
      <c r="AG11" s="43"/>
      <c r="AH11" s="43"/>
      <c r="AI11" s="43"/>
    </row>
    <row r="12" spans="1:35" ht="15" customHeight="1" outlineLevel="1" x14ac:dyDescent="0.25">
      <c r="A12" s="167"/>
      <c r="B12" s="149" t="s">
        <v>172</v>
      </c>
      <c r="C12" s="149"/>
      <c r="D12" s="149"/>
      <c r="E12" s="150"/>
      <c r="F12" s="150"/>
      <c r="G12" s="141"/>
      <c r="H12" s="150"/>
      <c r="I12" s="257" t="s">
        <v>218</v>
      </c>
      <c r="J12" s="149"/>
      <c r="K12" s="149"/>
      <c r="L12" s="150"/>
      <c r="M12" s="150"/>
      <c r="N12" s="141"/>
      <c r="O12" s="150"/>
      <c r="P12" s="257" t="s">
        <v>218</v>
      </c>
      <c r="Q12" s="149"/>
      <c r="R12" s="149"/>
      <c r="S12" s="150"/>
      <c r="T12" s="150"/>
      <c r="U12" s="141"/>
      <c r="V12" s="150"/>
      <c r="W12" s="257" t="s">
        <v>218</v>
      </c>
      <c r="X12" s="149"/>
      <c r="Y12" s="149"/>
      <c r="Z12" s="150"/>
      <c r="AA12" s="150"/>
      <c r="AB12" s="141"/>
      <c r="AC12" s="150"/>
      <c r="AD12" s="257" t="s">
        <v>218</v>
      </c>
      <c r="AE12" s="14"/>
      <c r="AF12" s="14"/>
      <c r="AG12" s="14"/>
      <c r="AH12" s="14"/>
      <c r="AI12" s="43"/>
    </row>
    <row r="13" spans="1:35" ht="15" customHeight="1" outlineLevel="1" x14ac:dyDescent="0.25">
      <c r="A13" s="217">
        <v>1</v>
      </c>
      <c r="B13" s="138" t="s">
        <v>178</v>
      </c>
      <c r="C13" s="114">
        <v>2</v>
      </c>
      <c r="D13" s="114">
        <f>D$5</f>
        <v>4</v>
      </c>
      <c r="E13" s="153">
        <f t="shared" ref="E13:E40" si="4">C13/D13</f>
        <v>0.5</v>
      </c>
      <c r="F13" s="114">
        <v>10</v>
      </c>
      <c r="G13" s="139">
        <v>6450</v>
      </c>
      <c r="H13" s="140">
        <f>G13*E13/F13</f>
        <v>322.5</v>
      </c>
      <c r="I13" s="258"/>
      <c r="J13" s="114">
        <v>2</v>
      </c>
      <c r="K13" s="114">
        <f>K$5</f>
        <v>6</v>
      </c>
      <c r="L13" s="153">
        <f t="shared" ref="L13:L16" si="5">J13/K13</f>
        <v>0.33333333333333331</v>
      </c>
      <c r="M13" s="114">
        <v>10</v>
      </c>
      <c r="N13" s="139">
        <v>6450</v>
      </c>
      <c r="O13" s="140">
        <f>N13*L13/M13</f>
        <v>215</v>
      </c>
      <c r="P13" s="258"/>
      <c r="Q13" s="114">
        <v>2</v>
      </c>
      <c r="R13" s="114">
        <f>R$5</f>
        <v>10</v>
      </c>
      <c r="S13" s="153">
        <f t="shared" ref="S13:S16" si="6">Q13/R13</f>
        <v>0.2</v>
      </c>
      <c r="T13" s="114">
        <v>10</v>
      </c>
      <c r="U13" s="139">
        <v>6450</v>
      </c>
      <c r="V13" s="140">
        <f>U13*S13/T13</f>
        <v>129</v>
      </c>
      <c r="W13" s="258"/>
      <c r="X13" s="114">
        <v>2</v>
      </c>
      <c r="Y13" s="114">
        <f>Y$5</f>
        <v>14</v>
      </c>
      <c r="Z13" s="153">
        <f t="shared" ref="Z13:Z16" si="7">X13/Y13</f>
        <v>0.14285714285714285</v>
      </c>
      <c r="AA13" s="114">
        <v>10</v>
      </c>
      <c r="AB13" s="139">
        <v>6450</v>
      </c>
      <c r="AC13" s="140">
        <f>AB13*Z13/AA13</f>
        <v>92.142857142857139</v>
      </c>
      <c r="AD13" s="258"/>
      <c r="AE13" s="21">
        <f>'Материальные запасы'!R6</f>
        <v>0.14285714285714285</v>
      </c>
      <c r="AF13" s="105">
        <f>AA13</f>
        <v>10</v>
      </c>
      <c r="AG13" s="83">
        <f t="shared" ref="AG13" si="8">AB13</f>
        <v>6450</v>
      </c>
      <c r="AH13" s="24">
        <f t="shared" ref="AH13" si="9">AG13*AE13/AF13</f>
        <v>92.142857142857139</v>
      </c>
      <c r="AI13" s="265" t="s">
        <v>131</v>
      </c>
    </row>
    <row r="14" spans="1:35" ht="15" customHeight="1" outlineLevel="1" x14ac:dyDescent="0.25">
      <c r="A14" s="218">
        <v>2</v>
      </c>
      <c r="B14" s="15" t="s">
        <v>179</v>
      </c>
      <c r="C14" s="112">
        <v>30</v>
      </c>
      <c r="D14" s="114">
        <f t="shared" ref="D14:D16" si="10">D$5</f>
        <v>4</v>
      </c>
      <c r="E14" s="155">
        <f t="shared" si="4"/>
        <v>7.5</v>
      </c>
      <c r="F14" s="112">
        <v>2</v>
      </c>
      <c r="G14" s="83">
        <v>650</v>
      </c>
      <c r="H14" s="24">
        <f t="shared" ref="H14:H16" si="11">G14*E14/F14</f>
        <v>2437.5</v>
      </c>
      <c r="I14" s="258"/>
      <c r="J14" s="112">
        <v>30</v>
      </c>
      <c r="K14" s="114">
        <f t="shared" ref="K14:K16" si="12">K$5</f>
        <v>6</v>
      </c>
      <c r="L14" s="155">
        <f t="shared" si="5"/>
        <v>5</v>
      </c>
      <c r="M14" s="112">
        <v>2</v>
      </c>
      <c r="N14" s="83">
        <v>650</v>
      </c>
      <c r="O14" s="24">
        <f t="shared" ref="O14:O16" si="13">N14*L14/M14</f>
        <v>1625</v>
      </c>
      <c r="P14" s="258"/>
      <c r="Q14" s="112">
        <v>30</v>
      </c>
      <c r="R14" s="114">
        <f t="shared" ref="R14:R16" si="14">R$5</f>
        <v>10</v>
      </c>
      <c r="S14" s="155">
        <f t="shared" si="6"/>
        <v>3</v>
      </c>
      <c r="T14" s="112">
        <v>2</v>
      </c>
      <c r="U14" s="83">
        <v>650</v>
      </c>
      <c r="V14" s="24">
        <f t="shared" ref="V14:V16" si="15">U14*S14/T14</f>
        <v>975</v>
      </c>
      <c r="W14" s="258"/>
      <c r="X14" s="112">
        <v>30</v>
      </c>
      <c r="Y14" s="114">
        <f t="shared" ref="Y14:Y16" si="16">Y$5</f>
        <v>14</v>
      </c>
      <c r="Z14" s="155">
        <f t="shared" si="7"/>
        <v>2.1428571428571428</v>
      </c>
      <c r="AA14" s="112">
        <v>2</v>
      </c>
      <c r="AB14" s="83">
        <v>650</v>
      </c>
      <c r="AC14" s="24">
        <f t="shared" ref="AC14:AC16" si="17">AB14*Z14/AA14</f>
        <v>696.42857142857144</v>
      </c>
      <c r="AD14" s="258"/>
      <c r="AE14" s="21">
        <f>'Материальные запасы'!R7</f>
        <v>2.1428571428571428</v>
      </c>
      <c r="AF14" s="104">
        <f>AA14</f>
        <v>2</v>
      </c>
      <c r="AG14" s="83">
        <f t="shared" ref="AG14:AG16" si="18">AB14</f>
        <v>650</v>
      </c>
      <c r="AH14" s="24">
        <f t="shared" ref="AH14:AH16" si="19">AG14*AE14/AF14</f>
        <v>696.42857142857144</v>
      </c>
      <c r="AI14" s="266"/>
    </row>
    <row r="15" spans="1:35" ht="15" customHeight="1" outlineLevel="1" x14ac:dyDescent="0.25">
      <c r="A15" s="218">
        <v>3</v>
      </c>
      <c r="B15" s="15" t="s">
        <v>180</v>
      </c>
      <c r="C15" s="112">
        <v>1</v>
      </c>
      <c r="D15" s="114">
        <f t="shared" si="10"/>
        <v>4</v>
      </c>
      <c r="E15" s="155">
        <f t="shared" si="4"/>
        <v>0.25</v>
      </c>
      <c r="F15" s="112">
        <v>10</v>
      </c>
      <c r="G15" s="83">
        <v>850000</v>
      </c>
      <c r="H15" s="24">
        <f t="shared" si="11"/>
        <v>21250</v>
      </c>
      <c r="I15" s="258"/>
      <c r="J15" s="112">
        <v>1</v>
      </c>
      <c r="K15" s="114">
        <f t="shared" si="12"/>
        <v>6</v>
      </c>
      <c r="L15" s="155">
        <f t="shared" si="5"/>
        <v>0.16666666666666666</v>
      </c>
      <c r="M15" s="112">
        <v>10</v>
      </c>
      <c r="N15" s="83">
        <v>850000</v>
      </c>
      <c r="O15" s="24">
        <f t="shared" si="13"/>
        <v>14166.666666666666</v>
      </c>
      <c r="P15" s="258"/>
      <c r="Q15" s="112">
        <v>1</v>
      </c>
      <c r="R15" s="114">
        <f t="shared" si="14"/>
        <v>10</v>
      </c>
      <c r="S15" s="155">
        <f t="shared" si="6"/>
        <v>0.1</v>
      </c>
      <c r="T15" s="112">
        <v>10</v>
      </c>
      <c r="U15" s="83">
        <v>850000</v>
      </c>
      <c r="V15" s="24">
        <f t="shared" si="15"/>
        <v>8500</v>
      </c>
      <c r="W15" s="258"/>
      <c r="X15" s="112">
        <v>1</v>
      </c>
      <c r="Y15" s="114">
        <f t="shared" si="16"/>
        <v>14</v>
      </c>
      <c r="Z15" s="155">
        <f t="shared" si="7"/>
        <v>7.1428571428571425E-2</v>
      </c>
      <c r="AA15" s="112">
        <v>10</v>
      </c>
      <c r="AB15" s="83">
        <v>850000</v>
      </c>
      <c r="AC15" s="24">
        <f t="shared" si="17"/>
        <v>6071.4285714285706</v>
      </c>
      <c r="AD15" s="258"/>
      <c r="AE15" s="21">
        <f>'Материальные запасы'!R8</f>
        <v>7.1428571428571425E-2</v>
      </c>
      <c r="AF15" s="104">
        <f t="shared" ref="AF15:AF16" si="20">AA15</f>
        <v>10</v>
      </c>
      <c r="AG15" s="83">
        <f t="shared" si="18"/>
        <v>850000</v>
      </c>
      <c r="AH15" s="24">
        <f t="shared" si="19"/>
        <v>6071.4285714285706</v>
      </c>
      <c r="AI15" s="266"/>
    </row>
    <row r="16" spans="1:35" ht="15" customHeight="1" outlineLevel="1" x14ac:dyDescent="0.25">
      <c r="A16" s="219">
        <v>4</v>
      </c>
      <c r="B16" s="142" t="s">
        <v>181</v>
      </c>
      <c r="C16" s="113">
        <v>30</v>
      </c>
      <c r="D16" s="114">
        <f t="shared" si="10"/>
        <v>4</v>
      </c>
      <c r="E16" s="156">
        <f t="shared" si="4"/>
        <v>7.5</v>
      </c>
      <c r="F16" s="113">
        <v>1</v>
      </c>
      <c r="G16" s="143">
        <v>43</v>
      </c>
      <c r="H16" s="144">
        <f t="shared" si="11"/>
        <v>322.5</v>
      </c>
      <c r="I16" s="258"/>
      <c r="J16" s="113">
        <v>30</v>
      </c>
      <c r="K16" s="114">
        <f t="shared" si="12"/>
        <v>6</v>
      </c>
      <c r="L16" s="156">
        <f t="shared" si="5"/>
        <v>5</v>
      </c>
      <c r="M16" s="113">
        <v>1</v>
      </c>
      <c r="N16" s="143">
        <v>43</v>
      </c>
      <c r="O16" s="144">
        <f t="shared" si="13"/>
        <v>215</v>
      </c>
      <c r="P16" s="258"/>
      <c r="Q16" s="113">
        <v>30</v>
      </c>
      <c r="R16" s="114">
        <f t="shared" si="14"/>
        <v>10</v>
      </c>
      <c r="S16" s="156">
        <f t="shared" si="6"/>
        <v>3</v>
      </c>
      <c r="T16" s="113">
        <v>1</v>
      </c>
      <c r="U16" s="143">
        <v>43</v>
      </c>
      <c r="V16" s="144">
        <f t="shared" si="15"/>
        <v>129</v>
      </c>
      <c r="W16" s="258"/>
      <c r="X16" s="113">
        <v>30</v>
      </c>
      <c r="Y16" s="114">
        <f t="shared" si="16"/>
        <v>14</v>
      </c>
      <c r="Z16" s="156">
        <f t="shared" si="7"/>
        <v>2.1428571428571428</v>
      </c>
      <c r="AA16" s="113">
        <v>1</v>
      </c>
      <c r="AB16" s="143">
        <v>43</v>
      </c>
      <c r="AC16" s="144">
        <f t="shared" si="17"/>
        <v>92.142857142857139</v>
      </c>
      <c r="AD16" s="258"/>
      <c r="AE16" s="21">
        <f>'Материальные запасы'!R9</f>
        <v>2.1428571428571428</v>
      </c>
      <c r="AF16" s="104">
        <f t="shared" si="20"/>
        <v>1</v>
      </c>
      <c r="AG16" s="83">
        <f t="shared" si="18"/>
        <v>43</v>
      </c>
      <c r="AH16" s="24">
        <f t="shared" si="19"/>
        <v>92.142857142857139</v>
      </c>
      <c r="AI16" s="266"/>
    </row>
    <row r="17" spans="1:35" outlineLevel="1" x14ac:dyDescent="0.25">
      <c r="A17" s="168"/>
      <c r="B17" s="146" t="s">
        <v>173</v>
      </c>
      <c r="C17" s="147"/>
      <c r="D17" s="147"/>
      <c r="E17" s="157"/>
      <c r="F17" s="147"/>
      <c r="G17" s="145"/>
      <c r="H17" s="148"/>
      <c r="I17" s="258"/>
      <c r="J17" s="147"/>
      <c r="K17" s="147"/>
      <c r="L17" s="157"/>
      <c r="M17" s="147"/>
      <c r="N17" s="145"/>
      <c r="O17" s="148"/>
      <c r="P17" s="258"/>
      <c r="Q17" s="147"/>
      <c r="R17" s="147"/>
      <c r="S17" s="157"/>
      <c r="T17" s="147"/>
      <c r="U17" s="145"/>
      <c r="V17" s="148"/>
      <c r="W17" s="258"/>
      <c r="X17" s="147"/>
      <c r="Y17" s="147"/>
      <c r="Z17" s="157"/>
      <c r="AA17" s="147"/>
      <c r="AB17" s="145"/>
      <c r="AC17" s="148"/>
      <c r="AD17" s="258"/>
      <c r="AE17" s="21"/>
      <c r="AF17" s="104"/>
      <c r="AG17" s="83"/>
      <c r="AH17" s="24"/>
      <c r="AI17" s="266"/>
    </row>
    <row r="18" spans="1:35" outlineLevel="1" x14ac:dyDescent="0.25">
      <c r="A18" s="217">
        <v>5</v>
      </c>
      <c r="B18" s="138" t="s">
        <v>182</v>
      </c>
      <c r="C18" s="114">
        <v>3</v>
      </c>
      <c r="D18" s="114">
        <f t="shared" ref="D18:D20" si="21">D$5</f>
        <v>4</v>
      </c>
      <c r="E18" s="153">
        <f t="shared" si="4"/>
        <v>0.75</v>
      </c>
      <c r="F18" s="114">
        <v>10</v>
      </c>
      <c r="G18" s="139">
        <v>2660</v>
      </c>
      <c r="H18" s="140">
        <f t="shared" ref="H18" si="22">G18*E18/F18</f>
        <v>199.5</v>
      </c>
      <c r="I18" s="258"/>
      <c r="J18" s="114">
        <v>3</v>
      </c>
      <c r="K18" s="114">
        <f t="shared" ref="K18:K20" si="23">K$5</f>
        <v>6</v>
      </c>
      <c r="L18" s="153">
        <f t="shared" ref="L18:L20" si="24">J18/K18</f>
        <v>0.5</v>
      </c>
      <c r="M18" s="114">
        <v>10</v>
      </c>
      <c r="N18" s="139">
        <v>2660</v>
      </c>
      <c r="O18" s="140">
        <f t="shared" ref="O18:O20" si="25">N18*L18/M18</f>
        <v>133</v>
      </c>
      <c r="P18" s="258"/>
      <c r="Q18" s="114">
        <v>3</v>
      </c>
      <c r="R18" s="114">
        <f t="shared" ref="R18:R20" si="26">R$5</f>
        <v>10</v>
      </c>
      <c r="S18" s="153">
        <f t="shared" ref="S18:S20" si="27">Q18/R18</f>
        <v>0.3</v>
      </c>
      <c r="T18" s="114">
        <v>10</v>
      </c>
      <c r="U18" s="139">
        <v>2660</v>
      </c>
      <c r="V18" s="140">
        <f t="shared" ref="V18:V20" si="28">U18*S18/T18</f>
        <v>79.8</v>
      </c>
      <c r="W18" s="258"/>
      <c r="X18" s="114">
        <v>3</v>
      </c>
      <c r="Y18" s="114">
        <f t="shared" ref="Y18:Y20" si="29">Y$5</f>
        <v>14</v>
      </c>
      <c r="Z18" s="153">
        <f t="shared" ref="Z18:Z20" si="30">X18/Y18</f>
        <v>0.21428571428571427</v>
      </c>
      <c r="AA18" s="114">
        <v>10</v>
      </c>
      <c r="AB18" s="139">
        <v>2660</v>
      </c>
      <c r="AC18" s="140">
        <f t="shared" ref="AC18:AC20" si="31">AB18*Z18/AA18</f>
        <v>57</v>
      </c>
      <c r="AD18" s="258"/>
      <c r="AE18" s="21">
        <f>'Материальные запасы'!R11</f>
        <v>0.21428571428571427</v>
      </c>
      <c r="AF18" s="106">
        <f t="shared" ref="AF18:AF20" si="32">AA18</f>
        <v>10</v>
      </c>
      <c r="AG18" s="83">
        <f t="shared" ref="AG18" si="33">AB18</f>
        <v>2660</v>
      </c>
      <c r="AH18" s="24">
        <f t="shared" ref="AH18" si="34">AG18*AE18/AF18</f>
        <v>57</v>
      </c>
      <c r="AI18" s="266"/>
    </row>
    <row r="19" spans="1:35" ht="25.5" outlineLevel="1" x14ac:dyDescent="0.25">
      <c r="A19" s="218">
        <v>6</v>
      </c>
      <c r="B19" s="15" t="s">
        <v>183</v>
      </c>
      <c r="C19" s="112">
        <v>3</v>
      </c>
      <c r="D19" s="114">
        <f t="shared" si="21"/>
        <v>4</v>
      </c>
      <c r="E19" s="155">
        <f t="shared" si="4"/>
        <v>0.75</v>
      </c>
      <c r="F19" s="112">
        <v>5</v>
      </c>
      <c r="G19" s="83">
        <v>5200</v>
      </c>
      <c r="H19" s="24">
        <f t="shared" ref="H19:H20" si="35">G19*E19/F19</f>
        <v>780</v>
      </c>
      <c r="I19" s="258"/>
      <c r="J19" s="112">
        <v>3</v>
      </c>
      <c r="K19" s="114">
        <f t="shared" si="23"/>
        <v>6</v>
      </c>
      <c r="L19" s="155">
        <f t="shared" si="24"/>
        <v>0.5</v>
      </c>
      <c r="M19" s="112">
        <v>5</v>
      </c>
      <c r="N19" s="83">
        <v>5200</v>
      </c>
      <c r="O19" s="24">
        <f t="shared" si="25"/>
        <v>520</v>
      </c>
      <c r="P19" s="258"/>
      <c r="Q19" s="112">
        <v>3</v>
      </c>
      <c r="R19" s="114">
        <f t="shared" si="26"/>
        <v>10</v>
      </c>
      <c r="S19" s="155">
        <f t="shared" si="27"/>
        <v>0.3</v>
      </c>
      <c r="T19" s="112">
        <v>5</v>
      </c>
      <c r="U19" s="83">
        <v>5200</v>
      </c>
      <c r="V19" s="24">
        <f t="shared" si="28"/>
        <v>312</v>
      </c>
      <c r="W19" s="258"/>
      <c r="X19" s="112">
        <v>3</v>
      </c>
      <c r="Y19" s="114">
        <f t="shared" si="29"/>
        <v>14</v>
      </c>
      <c r="Z19" s="155">
        <f t="shared" si="30"/>
        <v>0.21428571428571427</v>
      </c>
      <c r="AA19" s="112">
        <v>5</v>
      </c>
      <c r="AB19" s="83">
        <v>5200</v>
      </c>
      <c r="AC19" s="24">
        <f t="shared" si="31"/>
        <v>222.85714285714283</v>
      </c>
      <c r="AD19" s="258"/>
      <c r="AE19" s="21">
        <f>'Материальные запасы'!R12</f>
        <v>0.21428571428571427</v>
      </c>
      <c r="AF19" s="106">
        <f t="shared" si="32"/>
        <v>5</v>
      </c>
      <c r="AG19" s="83">
        <f t="shared" ref="AG19:AG20" si="36">AB19</f>
        <v>5200</v>
      </c>
      <c r="AH19" s="24">
        <f t="shared" ref="AH19:AH20" si="37">AG19*AE19/AF19</f>
        <v>222.85714285714283</v>
      </c>
      <c r="AI19" s="266"/>
    </row>
    <row r="20" spans="1:35" outlineLevel="1" x14ac:dyDescent="0.25">
      <c r="A20" s="219">
        <v>7</v>
      </c>
      <c r="B20" s="142" t="s">
        <v>184</v>
      </c>
      <c r="C20" s="113">
        <v>4</v>
      </c>
      <c r="D20" s="114">
        <f t="shared" si="21"/>
        <v>4</v>
      </c>
      <c r="E20" s="156">
        <f t="shared" si="4"/>
        <v>1</v>
      </c>
      <c r="F20" s="113">
        <v>5</v>
      </c>
      <c r="G20" s="143">
        <v>1450</v>
      </c>
      <c r="H20" s="144">
        <f t="shared" si="35"/>
        <v>290</v>
      </c>
      <c r="I20" s="258"/>
      <c r="J20" s="113">
        <v>4</v>
      </c>
      <c r="K20" s="114">
        <f t="shared" si="23"/>
        <v>6</v>
      </c>
      <c r="L20" s="156">
        <f t="shared" si="24"/>
        <v>0.66666666666666663</v>
      </c>
      <c r="M20" s="113">
        <v>5</v>
      </c>
      <c r="N20" s="143">
        <v>1450</v>
      </c>
      <c r="O20" s="144">
        <f t="shared" si="25"/>
        <v>193.33333333333331</v>
      </c>
      <c r="P20" s="258"/>
      <c r="Q20" s="113">
        <v>4</v>
      </c>
      <c r="R20" s="114">
        <f t="shared" si="26"/>
        <v>10</v>
      </c>
      <c r="S20" s="156">
        <f t="shared" si="27"/>
        <v>0.4</v>
      </c>
      <c r="T20" s="113">
        <v>5</v>
      </c>
      <c r="U20" s="143">
        <v>1450</v>
      </c>
      <c r="V20" s="144">
        <f t="shared" si="28"/>
        <v>116</v>
      </c>
      <c r="W20" s="258"/>
      <c r="X20" s="113">
        <v>4</v>
      </c>
      <c r="Y20" s="114">
        <f t="shared" si="29"/>
        <v>14</v>
      </c>
      <c r="Z20" s="156">
        <f t="shared" si="30"/>
        <v>0.2857142857142857</v>
      </c>
      <c r="AA20" s="113">
        <v>5</v>
      </c>
      <c r="AB20" s="143">
        <v>1450</v>
      </c>
      <c r="AC20" s="144">
        <f t="shared" si="31"/>
        <v>82.857142857142861</v>
      </c>
      <c r="AD20" s="258"/>
      <c r="AE20" s="21">
        <f>'Материальные запасы'!R13</f>
        <v>0.2857142857142857</v>
      </c>
      <c r="AF20" s="106">
        <f t="shared" si="32"/>
        <v>5</v>
      </c>
      <c r="AG20" s="83">
        <f t="shared" si="36"/>
        <v>1450</v>
      </c>
      <c r="AH20" s="24">
        <f t="shared" si="37"/>
        <v>82.857142857142861</v>
      </c>
      <c r="AI20" s="266"/>
    </row>
    <row r="21" spans="1:35" outlineLevel="1" x14ac:dyDescent="0.25">
      <c r="A21" s="168"/>
      <c r="B21" s="146" t="s">
        <v>188</v>
      </c>
      <c r="C21" s="147"/>
      <c r="D21" s="147"/>
      <c r="E21" s="157"/>
      <c r="F21" s="147"/>
      <c r="G21" s="145"/>
      <c r="H21" s="148"/>
      <c r="I21" s="258"/>
      <c r="J21" s="147"/>
      <c r="K21" s="147"/>
      <c r="L21" s="157"/>
      <c r="M21" s="147"/>
      <c r="N21" s="145"/>
      <c r="O21" s="148"/>
      <c r="P21" s="258"/>
      <c r="Q21" s="147"/>
      <c r="R21" s="147"/>
      <c r="S21" s="157"/>
      <c r="T21" s="147"/>
      <c r="U21" s="145"/>
      <c r="V21" s="148"/>
      <c r="W21" s="258"/>
      <c r="X21" s="147"/>
      <c r="Y21" s="147"/>
      <c r="Z21" s="157"/>
      <c r="AA21" s="147"/>
      <c r="AB21" s="145"/>
      <c r="AC21" s="148"/>
      <c r="AD21" s="258"/>
      <c r="AE21" s="21"/>
      <c r="AF21" s="104"/>
      <c r="AG21" s="83"/>
      <c r="AH21" s="24"/>
      <c r="AI21" s="266"/>
    </row>
    <row r="22" spans="1:35" outlineLevel="1" x14ac:dyDescent="0.25">
      <c r="A22" s="217">
        <v>8</v>
      </c>
      <c r="B22" s="138" t="s">
        <v>185</v>
      </c>
      <c r="C22" s="114">
        <v>5</v>
      </c>
      <c r="D22" s="114">
        <v>1</v>
      </c>
      <c r="E22" s="153">
        <f t="shared" si="4"/>
        <v>5</v>
      </c>
      <c r="F22" s="114">
        <v>1</v>
      </c>
      <c r="G22" s="139">
        <v>1990</v>
      </c>
      <c r="H22" s="140">
        <f t="shared" ref="H22" si="38">G22*E22/F22</f>
        <v>9950</v>
      </c>
      <c r="I22" s="258"/>
      <c r="J22" s="113">
        <v>3</v>
      </c>
      <c r="K22" s="114">
        <v>1</v>
      </c>
      <c r="L22" s="153">
        <f t="shared" ref="L22:L24" si="39">J22/K22</f>
        <v>3</v>
      </c>
      <c r="M22" s="114">
        <v>1</v>
      </c>
      <c r="N22" s="139">
        <v>1990</v>
      </c>
      <c r="O22" s="140">
        <f t="shared" ref="O22:O24" si="40">N22*L22/M22</f>
        <v>5970</v>
      </c>
      <c r="P22" s="258"/>
      <c r="Q22" s="113">
        <v>2</v>
      </c>
      <c r="R22" s="114">
        <v>1</v>
      </c>
      <c r="S22" s="153">
        <f t="shared" ref="S22:S24" si="41">Q22/R22</f>
        <v>2</v>
      </c>
      <c r="T22" s="114">
        <v>1</v>
      </c>
      <c r="U22" s="139">
        <v>1990</v>
      </c>
      <c r="V22" s="140">
        <f t="shared" ref="V22:V24" si="42">U22*S22/T22</f>
        <v>3980</v>
      </c>
      <c r="W22" s="258"/>
      <c r="X22" s="113">
        <v>0</v>
      </c>
      <c r="Y22" s="114">
        <v>1</v>
      </c>
      <c r="Z22" s="153">
        <f t="shared" ref="Z22:Z24" si="43">X22/Y22</f>
        <v>0</v>
      </c>
      <c r="AA22" s="114">
        <v>1</v>
      </c>
      <c r="AB22" s="139">
        <v>1990</v>
      </c>
      <c r="AC22" s="140">
        <f t="shared" ref="AC22:AC24" si="44">AB22*Z22/AA22</f>
        <v>0</v>
      </c>
      <c r="AD22" s="258"/>
      <c r="AE22" s="21">
        <f>'Материальные запасы'!R15</f>
        <v>0</v>
      </c>
      <c r="AF22" s="106">
        <v>1</v>
      </c>
      <c r="AG22" s="83">
        <f t="shared" ref="AG22" si="45">AB22</f>
        <v>1990</v>
      </c>
      <c r="AH22" s="24">
        <f t="shared" ref="AH22" si="46">AG22*AE22/AF22</f>
        <v>0</v>
      </c>
      <c r="AI22" s="266"/>
    </row>
    <row r="23" spans="1:35" outlineLevel="1" x14ac:dyDescent="0.25">
      <c r="A23" s="218">
        <v>9</v>
      </c>
      <c r="B23" s="15" t="s">
        <v>186</v>
      </c>
      <c r="C23" s="112">
        <v>5</v>
      </c>
      <c r="D23" s="112">
        <v>1</v>
      </c>
      <c r="E23" s="155">
        <f t="shared" si="4"/>
        <v>5</v>
      </c>
      <c r="F23" s="112">
        <v>1</v>
      </c>
      <c r="G23" s="83">
        <v>650</v>
      </c>
      <c r="H23" s="24">
        <f t="shared" ref="H23:H24" si="47">G23*E23/F23</f>
        <v>3250</v>
      </c>
      <c r="I23" s="258"/>
      <c r="J23" s="113">
        <v>3</v>
      </c>
      <c r="K23" s="112">
        <v>1</v>
      </c>
      <c r="L23" s="155">
        <f t="shared" si="39"/>
        <v>3</v>
      </c>
      <c r="M23" s="112">
        <v>1</v>
      </c>
      <c r="N23" s="83">
        <v>650</v>
      </c>
      <c r="O23" s="24">
        <f t="shared" si="40"/>
        <v>1950</v>
      </c>
      <c r="P23" s="258"/>
      <c r="Q23" s="113">
        <v>2</v>
      </c>
      <c r="R23" s="112">
        <v>1</v>
      </c>
      <c r="S23" s="155">
        <f t="shared" si="41"/>
        <v>2</v>
      </c>
      <c r="T23" s="112">
        <v>1</v>
      </c>
      <c r="U23" s="83">
        <v>650</v>
      </c>
      <c r="V23" s="24">
        <f t="shared" si="42"/>
        <v>1300</v>
      </c>
      <c r="W23" s="258"/>
      <c r="X23" s="113">
        <v>0</v>
      </c>
      <c r="Y23" s="112">
        <v>1</v>
      </c>
      <c r="Z23" s="155">
        <f t="shared" si="43"/>
        <v>0</v>
      </c>
      <c r="AA23" s="112">
        <v>1</v>
      </c>
      <c r="AB23" s="83">
        <v>650</v>
      </c>
      <c r="AC23" s="24">
        <f t="shared" si="44"/>
        <v>0</v>
      </c>
      <c r="AD23" s="258"/>
      <c r="AE23" s="21">
        <f>'Материальные запасы'!R16</f>
        <v>0</v>
      </c>
      <c r="AF23" s="106">
        <v>1</v>
      </c>
      <c r="AG23" s="83">
        <f t="shared" ref="AG23:AG24" si="48">AB23</f>
        <v>650</v>
      </c>
      <c r="AH23" s="24">
        <f t="shared" ref="AH23:AH24" si="49">AG23*AE23/AF23</f>
        <v>0</v>
      </c>
      <c r="AI23" s="266"/>
    </row>
    <row r="24" spans="1:35" outlineLevel="1" x14ac:dyDescent="0.25">
      <c r="A24" s="219">
        <v>10</v>
      </c>
      <c r="B24" s="142" t="s">
        <v>187</v>
      </c>
      <c r="C24" s="113">
        <v>20</v>
      </c>
      <c r="D24" s="113">
        <v>1</v>
      </c>
      <c r="E24" s="156">
        <f t="shared" si="4"/>
        <v>20</v>
      </c>
      <c r="F24" s="113">
        <v>1</v>
      </c>
      <c r="G24" s="143">
        <v>43</v>
      </c>
      <c r="H24" s="144">
        <f t="shared" si="47"/>
        <v>860</v>
      </c>
      <c r="I24" s="258"/>
      <c r="J24" s="113">
        <v>15</v>
      </c>
      <c r="K24" s="113">
        <v>1</v>
      </c>
      <c r="L24" s="156">
        <f t="shared" si="39"/>
        <v>15</v>
      </c>
      <c r="M24" s="113">
        <v>1</v>
      </c>
      <c r="N24" s="143">
        <v>43</v>
      </c>
      <c r="O24" s="144">
        <f t="shared" si="40"/>
        <v>645</v>
      </c>
      <c r="P24" s="258"/>
      <c r="Q24" s="113">
        <v>10</v>
      </c>
      <c r="R24" s="113">
        <v>1</v>
      </c>
      <c r="S24" s="156">
        <f t="shared" si="41"/>
        <v>10</v>
      </c>
      <c r="T24" s="113">
        <v>1</v>
      </c>
      <c r="U24" s="143">
        <v>43</v>
      </c>
      <c r="V24" s="144">
        <f t="shared" si="42"/>
        <v>430</v>
      </c>
      <c r="W24" s="258"/>
      <c r="X24" s="113">
        <v>0</v>
      </c>
      <c r="Y24" s="113">
        <v>1</v>
      </c>
      <c r="Z24" s="156">
        <f t="shared" si="43"/>
        <v>0</v>
      </c>
      <c r="AA24" s="113">
        <v>1</v>
      </c>
      <c r="AB24" s="143">
        <v>43</v>
      </c>
      <c r="AC24" s="144">
        <f t="shared" si="44"/>
        <v>0</v>
      </c>
      <c r="AD24" s="258"/>
      <c r="AE24" s="21">
        <f>'Материальные запасы'!R17</f>
        <v>0</v>
      </c>
      <c r="AF24" s="106">
        <v>1</v>
      </c>
      <c r="AG24" s="83">
        <f t="shared" si="48"/>
        <v>43</v>
      </c>
      <c r="AH24" s="24">
        <f t="shared" si="49"/>
        <v>0</v>
      </c>
      <c r="AI24" s="266"/>
    </row>
    <row r="25" spans="1:35" outlineLevel="1" x14ac:dyDescent="0.25">
      <c r="A25" s="168"/>
      <c r="B25" s="146" t="s">
        <v>138</v>
      </c>
      <c r="C25" s="147"/>
      <c r="D25" s="147"/>
      <c r="E25" s="157"/>
      <c r="F25" s="147"/>
      <c r="G25" s="145"/>
      <c r="H25" s="148"/>
      <c r="I25" s="258"/>
      <c r="J25" s="113"/>
      <c r="K25" s="147"/>
      <c r="L25" s="157"/>
      <c r="M25" s="147"/>
      <c r="N25" s="145"/>
      <c r="O25" s="148"/>
      <c r="P25" s="258"/>
      <c r="Q25" s="15"/>
      <c r="R25" s="147"/>
      <c r="S25" s="157"/>
      <c r="T25" s="147"/>
      <c r="U25" s="145"/>
      <c r="V25" s="148"/>
      <c r="W25" s="258"/>
      <c r="X25" s="15"/>
      <c r="Y25" s="147"/>
      <c r="Z25" s="157"/>
      <c r="AA25" s="147"/>
      <c r="AB25" s="145"/>
      <c r="AC25" s="148"/>
      <c r="AD25" s="258"/>
      <c r="AE25" s="21"/>
      <c r="AF25" s="107"/>
      <c r="AG25" s="83"/>
      <c r="AH25" s="24"/>
      <c r="AI25" s="266"/>
    </row>
    <row r="26" spans="1:35" outlineLevel="1" x14ac:dyDescent="0.25">
      <c r="A26" s="217">
        <v>11</v>
      </c>
      <c r="B26" s="138" t="s">
        <v>189</v>
      </c>
      <c r="C26" s="114">
        <v>4</v>
      </c>
      <c r="D26" s="114">
        <v>1</v>
      </c>
      <c r="E26" s="153">
        <f t="shared" si="4"/>
        <v>4</v>
      </c>
      <c r="F26" s="114">
        <v>1</v>
      </c>
      <c r="G26" s="139">
        <v>156</v>
      </c>
      <c r="H26" s="140">
        <f t="shared" ref="H26:H31" si="50">G26*E26/F26</f>
        <v>624</v>
      </c>
      <c r="I26" s="258"/>
      <c r="J26" s="113">
        <v>2</v>
      </c>
      <c r="K26" s="114">
        <v>1</v>
      </c>
      <c r="L26" s="153">
        <f t="shared" ref="L26:L40" si="51">J26/K26</f>
        <v>2</v>
      </c>
      <c r="M26" s="114">
        <v>1</v>
      </c>
      <c r="N26" s="139">
        <v>156</v>
      </c>
      <c r="O26" s="140">
        <f t="shared" ref="O26:O40" si="52">N26*L26/M26</f>
        <v>312</v>
      </c>
      <c r="P26" s="258"/>
      <c r="Q26" s="113">
        <v>2</v>
      </c>
      <c r="R26" s="114">
        <v>1</v>
      </c>
      <c r="S26" s="153">
        <f t="shared" ref="S26:S40" si="53">Q26/R26</f>
        <v>2</v>
      </c>
      <c r="T26" s="114">
        <v>1</v>
      </c>
      <c r="U26" s="139">
        <v>156</v>
      </c>
      <c r="V26" s="140">
        <f t="shared" ref="V26:V40" si="54">U26*S26/T26</f>
        <v>312</v>
      </c>
      <c r="W26" s="258"/>
      <c r="X26" s="113">
        <v>0</v>
      </c>
      <c r="Y26" s="114">
        <v>1</v>
      </c>
      <c r="Z26" s="153">
        <f t="shared" ref="Z26:Z40" si="55">X26/Y26</f>
        <v>0</v>
      </c>
      <c r="AA26" s="114">
        <v>1</v>
      </c>
      <c r="AB26" s="139">
        <v>156</v>
      </c>
      <c r="AC26" s="140">
        <f t="shared" ref="AC26:AC40" si="56">AB26*Z26/AA26</f>
        <v>0</v>
      </c>
      <c r="AD26" s="258"/>
      <c r="AE26" s="21">
        <f>'Материальные запасы'!R19</f>
        <v>0</v>
      </c>
      <c r="AF26" s="108">
        <v>1</v>
      </c>
      <c r="AG26" s="83">
        <f t="shared" ref="AG26:AG31" si="57">AB26</f>
        <v>156</v>
      </c>
      <c r="AH26" s="24">
        <f t="shared" ref="AH26:AH31" si="58">AG26*AE26/AF26</f>
        <v>0</v>
      </c>
      <c r="AI26" s="266"/>
    </row>
    <row r="27" spans="1:35" ht="25.5" outlineLevel="1" x14ac:dyDescent="0.25">
      <c r="A27" s="218">
        <v>12</v>
      </c>
      <c r="B27" s="15" t="s">
        <v>190</v>
      </c>
      <c r="C27" s="112">
        <v>1</v>
      </c>
      <c r="D27" s="112">
        <v>1</v>
      </c>
      <c r="E27" s="155">
        <f t="shared" si="4"/>
        <v>1</v>
      </c>
      <c r="F27" s="112">
        <v>1</v>
      </c>
      <c r="G27" s="83">
        <v>20000</v>
      </c>
      <c r="H27" s="24">
        <f t="shared" si="50"/>
        <v>20000</v>
      </c>
      <c r="I27" s="258"/>
      <c r="J27" s="113">
        <v>1</v>
      </c>
      <c r="K27" s="112">
        <v>1</v>
      </c>
      <c r="L27" s="155">
        <f t="shared" si="51"/>
        <v>1</v>
      </c>
      <c r="M27" s="112">
        <v>1</v>
      </c>
      <c r="N27" s="83">
        <v>20000</v>
      </c>
      <c r="O27" s="24">
        <f t="shared" si="52"/>
        <v>20000</v>
      </c>
      <c r="P27" s="258"/>
      <c r="Q27" s="113">
        <v>1</v>
      </c>
      <c r="R27" s="112">
        <v>1</v>
      </c>
      <c r="S27" s="155">
        <f t="shared" si="53"/>
        <v>1</v>
      </c>
      <c r="T27" s="112">
        <v>1</v>
      </c>
      <c r="U27" s="83">
        <v>20000</v>
      </c>
      <c r="V27" s="24">
        <f t="shared" si="54"/>
        <v>20000</v>
      </c>
      <c r="W27" s="258"/>
      <c r="X27" s="113">
        <v>0</v>
      </c>
      <c r="Y27" s="112">
        <v>1</v>
      </c>
      <c r="Z27" s="155">
        <f t="shared" si="55"/>
        <v>0</v>
      </c>
      <c r="AA27" s="112">
        <v>1</v>
      </c>
      <c r="AB27" s="83">
        <v>20000</v>
      </c>
      <c r="AC27" s="24">
        <f t="shared" si="56"/>
        <v>0</v>
      </c>
      <c r="AD27" s="258"/>
      <c r="AE27" s="21">
        <f>'Материальные запасы'!R20</f>
        <v>0</v>
      </c>
      <c r="AF27" s="108">
        <v>1</v>
      </c>
      <c r="AG27" s="83">
        <f t="shared" si="57"/>
        <v>20000</v>
      </c>
      <c r="AH27" s="24">
        <f t="shared" si="58"/>
        <v>0</v>
      </c>
      <c r="AI27" s="266"/>
    </row>
    <row r="28" spans="1:35" ht="25.5" outlineLevel="1" x14ac:dyDescent="0.25">
      <c r="A28" s="218">
        <v>13</v>
      </c>
      <c r="B28" s="15" t="s">
        <v>191</v>
      </c>
      <c r="C28" s="112">
        <v>1</v>
      </c>
      <c r="D28" s="112">
        <v>1</v>
      </c>
      <c r="E28" s="155">
        <f t="shared" si="4"/>
        <v>1</v>
      </c>
      <c r="F28" s="112">
        <v>1</v>
      </c>
      <c r="G28" s="83">
        <v>12000</v>
      </c>
      <c r="H28" s="24">
        <f t="shared" si="50"/>
        <v>12000</v>
      </c>
      <c r="I28" s="258"/>
      <c r="J28" s="113">
        <v>1</v>
      </c>
      <c r="K28" s="112">
        <v>1</v>
      </c>
      <c r="L28" s="155">
        <f t="shared" si="51"/>
        <v>1</v>
      </c>
      <c r="M28" s="112">
        <v>1</v>
      </c>
      <c r="N28" s="83">
        <v>12000</v>
      </c>
      <c r="O28" s="24">
        <f t="shared" si="52"/>
        <v>12000</v>
      </c>
      <c r="P28" s="258"/>
      <c r="Q28" s="113">
        <v>1</v>
      </c>
      <c r="R28" s="112">
        <v>1</v>
      </c>
      <c r="S28" s="155">
        <f t="shared" si="53"/>
        <v>1</v>
      </c>
      <c r="T28" s="112">
        <v>1</v>
      </c>
      <c r="U28" s="83">
        <v>12000</v>
      </c>
      <c r="V28" s="24">
        <f t="shared" si="54"/>
        <v>12000</v>
      </c>
      <c r="W28" s="258"/>
      <c r="X28" s="113">
        <v>0</v>
      </c>
      <c r="Y28" s="112">
        <v>1</v>
      </c>
      <c r="Z28" s="155">
        <f t="shared" si="55"/>
        <v>0</v>
      </c>
      <c r="AA28" s="112">
        <v>1</v>
      </c>
      <c r="AB28" s="83">
        <v>12000</v>
      </c>
      <c r="AC28" s="24">
        <f t="shared" si="56"/>
        <v>0</v>
      </c>
      <c r="AD28" s="258"/>
      <c r="AE28" s="21">
        <f>'Материальные запасы'!R21</f>
        <v>0</v>
      </c>
      <c r="AF28" s="108">
        <v>1</v>
      </c>
      <c r="AG28" s="83">
        <f t="shared" si="57"/>
        <v>12000</v>
      </c>
      <c r="AH28" s="24">
        <f t="shared" si="58"/>
        <v>0</v>
      </c>
      <c r="AI28" s="266"/>
    </row>
    <row r="29" spans="1:35" ht="25.5" outlineLevel="1" x14ac:dyDescent="0.25">
      <c r="A29" s="218">
        <v>14</v>
      </c>
      <c r="B29" s="15" t="s">
        <v>192</v>
      </c>
      <c r="C29" s="112">
        <v>2</v>
      </c>
      <c r="D29" s="112">
        <v>1</v>
      </c>
      <c r="E29" s="155">
        <f t="shared" si="4"/>
        <v>2</v>
      </c>
      <c r="F29" s="112">
        <v>1</v>
      </c>
      <c r="G29" s="83">
        <v>7520</v>
      </c>
      <c r="H29" s="24">
        <f t="shared" si="50"/>
        <v>15040</v>
      </c>
      <c r="I29" s="258"/>
      <c r="J29" s="113">
        <v>1</v>
      </c>
      <c r="K29" s="112">
        <v>1</v>
      </c>
      <c r="L29" s="155">
        <f t="shared" si="51"/>
        <v>1</v>
      </c>
      <c r="M29" s="112">
        <v>1</v>
      </c>
      <c r="N29" s="83">
        <v>7520</v>
      </c>
      <c r="O29" s="24">
        <f t="shared" si="52"/>
        <v>7520</v>
      </c>
      <c r="P29" s="258"/>
      <c r="Q29" s="113">
        <v>1</v>
      </c>
      <c r="R29" s="112">
        <v>1</v>
      </c>
      <c r="S29" s="155">
        <f t="shared" si="53"/>
        <v>1</v>
      </c>
      <c r="T29" s="112">
        <v>1</v>
      </c>
      <c r="U29" s="83">
        <v>7520</v>
      </c>
      <c r="V29" s="24">
        <f t="shared" si="54"/>
        <v>7520</v>
      </c>
      <c r="W29" s="258"/>
      <c r="X29" s="113">
        <v>0</v>
      </c>
      <c r="Y29" s="112">
        <v>1</v>
      </c>
      <c r="Z29" s="155">
        <f t="shared" si="55"/>
        <v>0</v>
      </c>
      <c r="AA29" s="112">
        <v>1</v>
      </c>
      <c r="AB29" s="83">
        <v>7520</v>
      </c>
      <c r="AC29" s="24">
        <f t="shared" si="56"/>
        <v>0</v>
      </c>
      <c r="AD29" s="258"/>
      <c r="AE29" s="21">
        <f>'Материальные запасы'!R22</f>
        <v>0</v>
      </c>
      <c r="AF29" s="108">
        <v>1</v>
      </c>
      <c r="AG29" s="83">
        <f t="shared" si="57"/>
        <v>7520</v>
      </c>
      <c r="AH29" s="24">
        <f t="shared" si="58"/>
        <v>0</v>
      </c>
      <c r="AI29" s="266"/>
    </row>
    <row r="30" spans="1:35" outlineLevel="1" x14ac:dyDescent="0.25">
      <c r="A30" s="218">
        <v>15</v>
      </c>
      <c r="B30" s="15" t="s">
        <v>193</v>
      </c>
      <c r="C30" s="112">
        <v>2</v>
      </c>
      <c r="D30" s="112">
        <v>1</v>
      </c>
      <c r="E30" s="155">
        <f t="shared" si="4"/>
        <v>2</v>
      </c>
      <c r="F30" s="112">
        <v>1</v>
      </c>
      <c r="G30" s="83">
        <v>1300</v>
      </c>
      <c r="H30" s="24">
        <f t="shared" si="50"/>
        <v>2600</v>
      </c>
      <c r="I30" s="258"/>
      <c r="J30" s="113">
        <v>1</v>
      </c>
      <c r="K30" s="112">
        <v>1</v>
      </c>
      <c r="L30" s="155">
        <f t="shared" si="51"/>
        <v>1</v>
      </c>
      <c r="M30" s="112">
        <v>1</v>
      </c>
      <c r="N30" s="83">
        <v>1300</v>
      </c>
      <c r="O30" s="24">
        <f t="shared" si="52"/>
        <v>1300</v>
      </c>
      <c r="P30" s="258"/>
      <c r="Q30" s="113">
        <v>1</v>
      </c>
      <c r="R30" s="112">
        <v>1</v>
      </c>
      <c r="S30" s="155">
        <f t="shared" si="53"/>
        <v>1</v>
      </c>
      <c r="T30" s="112">
        <v>1</v>
      </c>
      <c r="U30" s="83">
        <v>1300</v>
      </c>
      <c r="V30" s="24">
        <f t="shared" si="54"/>
        <v>1300</v>
      </c>
      <c r="W30" s="258"/>
      <c r="X30" s="113">
        <v>0</v>
      </c>
      <c r="Y30" s="112">
        <v>1</v>
      </c>
      <c r="Z30" s="155">
        <f t="shared" si="55"/>
        <v>0</v>
      </c>
      <c r="AA30" s="112">
        <v>1</v>
      </c>
      <c r="AB30" s="83">
        <v>1300</v>
      </c>
      <c r="AC30" s="24">
        <f t="shared" si="56"/>
        <v>0</v>
      </c>
      <c r="AD30" s="258"/>
      <c r="AE30" s="21">
        <f>'Материальные запасы'!R23</f>
        <v>0</v>
      </c>
      <c r="AF30" s="108">
        <v>1</v>
      </c>
      <c r="AG30" s="83">
        <f t="shared" si="57"/>
        <v>1300</v>
      </c>
      <c r="AH30" s="24">
        <f t="shared" si="58"/>
        <v>0</v>
      </c>
      <c r="AI30" s="266"/>
    </row>
    <row r="31" spans="1:35" outlineLevel="1" x14ac:dyDescent="0.25">
      <c r="A31" s="218">
        <v>16</v>
      </c>
      <c r="B31" s="15" t="s">
        <v>194</v>
      </c>
      <c r="C31" s="112">
        <v>2</v>
      </c>
      <c r="D31" s="112">
        <v>1</v>
      </c>
      <c r="E31" s="155">
        <f t="shared" si="4"/>
        <v>2</v>
      </c>
      <c r="F31" s="112">
        <v>1</v>
      </c>
      <c r="G31" s="83">
        <v>1000</v>
      </c>
      <c r="H31" s="24">
        <f t="shared" si="50"/>
        <v>2000</v>
      </c>
      <c r="I31" s="258"/>
      <c r="J31" s="113">
        <v>2</v>
      </c>
      <c r="K31" s="112">
        <v>1</v>
      </c>
      <c r="L31" s="155">
        <f t="shared" si="51"/>
        <v>2</v>
      </c>
      <c r="M31" s="112">
        <v>1</v>
      </c>
      <c r="N31" s="83">
        <v>1000</v>
      </c>
      <c r="O31" s="24">
        <f t="shared" si="52"/>
        <v>2000</v>
      </c>
      <c r="P31" s="258"/>
      <c r="Q31" s="113">
        <v>1</v>
      </c>
      <c r="R31" s="112">
        <v>1</v>
      </c>
      <c r="S31" s="155">
        <f t="shared" si="53"/>
        <v>1</v>
      </c>
      <c r="T31" s="112">
        <v>1</v>
      </c>
      <c r="U31" s="83">
        <v>1000</v>
      </c>
      <c r="V31" s="24">
        <f t="shared" si="54"/>
        <v>1000</v>
      </c>
      <c r="W31" s="258"/>
      <c r="X31" s="113">
        <v>0</v>
      </c>
      <c r="Y31" s="112">
        <v>1</v>
      </c>
      <c r="Z31" s="155">
        <f t="shared" si="55"/>
        <v>0</v>
      </c>
      <c r="AA31" s="112">
        <v>1</v>
      </c>
      <c r="AB31" s="83">
        <v>1000</v>
      </c>
      <c r="AC31" s="24">
        <f t="shared" si="56"/>
        <v>0</v>
      </c>
      <c r="AD31" s="258"/>
      <c r="AE31" s="21">
        <f>'Материальные запасы'!R24</f>
        <v>0</v>
      </c>
      <c r="AF31" s="108">
        <v>1</v>
      </c>
      <c r="AG31" s="83">
        <f t="shared" si="57"/>
        <v>1000</v>
      </c>
      <c r="AH31" s="24">
        <f t="shared" si="58"/>
        <v>0</v>
      </c>
      <c r="AI31" s="266"/>
    </row>
    <row r="32" spans="1:35" outlineLevel="1" x14ac:dyDescent="0.25">
      <c r="A32" s="218">
        <v>17</v>
      </c>
      <c r="B32" s="15" t="s">
        <v>195</v>
      </c>
      <c r="C32" s="112">
        <v>1</v>
      </c>
      <c r="D32" s="112">
        <v>1</v>
      </c>
      <c r="E32" s="155">
        <f t="shared" si="4"/>
        <v>1</v>
      </c>
      <c r="F32" s="112">
        <v>1</v>
      </c>
      <c r="G32" s="83">
        <v>4600</v>
      </c>
      <c r="H32" s="24">
        <f t="shared" ref="H32:H37" si="59">G32*E32/F32</f>
        <v>4600</v>
      </c>
      <c r="I32" s="258"/>
      <c r="J32" s="113">
        <v>1</v>
      </c>
      <c r="K32" s="112">
        <v>1</v>
      </c>
      <c r="L32" s="155">
        <f t="shared" si="51"/>
        <v>1</v>
      </c>
      <c r="M32" s="112">
        <v>1</v>
      </c>
      <c r="N32" s="83">
        <v>4600</v>
      </c>
      <c r="O32" s="24">
        <f t="shared" si="52"/>
        <v>4600</v>
      </c>
      <c r="P32" s="258"/>
      <c r="Q32" s="113">
        <v>1</v>
      </c>
      <c r="R32" s="112">
        <v>1</v>
      </c>
      <c r="S32" s="155">
        <f t="shared" si="53"/>
        <v>1</v>
      </c>
      <c r="T32" s="112">
        <v>1</v>
      </c>
      <c r="U32" s="83">
        <v>4600</v>
      </c>
      <c r="V32" s="24">
        <f t="shared" si="54"/>
        <v>4600</v>
      </c>
      <c r="W32" s="258"/>
      <c r="X32" s="113">
        <v>0</v>
      </c>
      <c r="Y32" s="112">
        <v>1</v>
      </c>
      <c r="Z32" s="155">
        <f t="shared" si="55"/>
        <v>0</v>
      </c>
      <c r="AA32" s="112">
        <v>1</v>
      </c>
      <c r="AB32" s="83">
        <v>4600</v>
      </c>
      <c r="AC32" s="24">
        <f t="shared" si="56"/>
        <v>0</v>
      </c>
      <c r="AD32" s="258"/>
      <c r="AE32" s="21">
        <f>'Материальные запасы'!R25</f>
        <v>0</v>
      </c>
      <c r="AF32" s="108">
        <v>1</v>
      </c>
      <c r="AG32" s="83">
        <f t="shared" ref="AG32:AG37" si="60">AB32</f>
        <v>4600</v>
      </c>
      <c r="AH32" s="24">
        <f t="shared" ref="AH32:AH37" si="61">AG32*AE32/AF32</f>
        <v>0</v>
      </c>
      <c r="AI32" s="266"/>
    </row>
    <row r="33" spans="1:35" outlineLevel="1" x14ac:dyDescent="0.25">
      <c r="A33" s="218">
        <v>18</v>
      </c>
      <c r="B33" s="15" t="s">
        <v>196</v>
      </c>
      <c r="C33" s="112">
        <v>1</v>
      </c>
      <c r="D33" s="112">
        <v>1</v>
      </c>
      <c r="E33" s="155">
        <f t="shared" si="4"/>
        <v>1</v>
      </c>
      <c r="F33" s="112">
        <v>1</v>
      </c>
      <c r="G33" s="83">
        <v>4700</v>
      </c>
      <c r="H33" s="24">
        <f t="shared" si="59"/>
        <v>4700</v>
      </c>
      <c r="I33" s="258"/>
      <c r="J33" s="113">
        <v>1</v>
      </c>
      <c r="K33" s="112">
        <v>1</v>
      </c>
      <c r="L33" s="155">
        <f t="shared" si="51"/>
        <v>1</v>
      </c>
      <c r="M33" s="112">
        <v>1</v>
      </c>
      <c r="N33" s="83">
        <v>4700</v>
      </c>
      <c r="O33" s="24">
        <f t="shared" si="52"/>
        <v>4700</v>
      </c>
      <c r="P33" s="258"/>
      <c r="Q33" s="113">
        <v>1</v>
      </c>
      <c r="R33" s="112">
        <v>1</v>
      </c>
      <c r="S33" s="155">
        <f t="shared" si="53"/>
        <v>1</v>
      </c>
      <c r="T33" s="112">
        <v>1</v>
      </c>
      <c r="U33" s="83">
        <v>4700</v>
      </c>
      <c r="V33" s="24">
        <f t="shared" si="54"/>
        <v>4700</v>
      </c>
      <c r="W33" s="258"/>
      <c r="X33" s="113">
        <v>0</v>
      </c>
      <c r="Y33" s="112">
        <v>1</v>
      </c>
      <c r="Z33" s="155">
        <f t="shared" si="55"/>
        <v>0</v>
      </c>
      <c r="AA33" s="112">
        <v>1</v>
      </c>
      <c r="AB33" s="83">
        <v>4700</v>
      </c>
      <c r="AC33" s="24">
        <f t="shared" si="56"/>
        <v>0</v>
      </c>
      <c r="AD33" s="258"/>
      <c r="AE33" s="21">
        <f>'Материальные запасы'!R26</f>
        <v>0</v>
      </c>
      <c r="AF33" s="108">
        <v>1</v>
      </c>
      <c r="AG33" s="83">
        <f t="shared" si="60"/>
        <v>4700</v>
      </c>
      <c r="AH33" s="24">
        <f t="shared" si="61"/>
        <v>0</v>
      </c>
      <c r="AI33" s="266"/>
    </row>
    <row r="34" spans="1:35" outlineLevel="1" x14ac:dyDescent="0.25">
      <c r="A34" s="218">
        <v>19</v>
      </c>
      <c r="B34" s="15" t="s">
        <v>197</v>
      </c>
      <c r="C34" s="112">
        <v>1</v>
      </c>
      <c r="D34" s="112">
        <v>1</v>
      </c>
      <c r="E34" s="155">
        <f t="shared" si="4"/>
        <v>1</v>
      </c>
      <c r="F34" s="112">
        <v>1</v>
      </c>
      <c r="G34" s="83">
        <v>500</v>
      </c>
      <c r="H34" s="24">
        <f t="shared" si="59"/>
        <v>500</v>
      </c>
      <c r="I34" s="258"/>
      <c r="J34" s="113">
        <v>1</v>
      </c>
      <c r="K34" s="112">
        <v>1</v>
      </c>
      <c r="L34" s="155">
        <f t="shared" si="51"/>
        <v>1</v>
      </c>
      <c r="M34" s="112">
        <v>1</v>
      </c>
      <c r="N34" s="83">
        <v>500</v>
      </c>
      <c r="O34" s="24">
        <f t="shared" si="52"/>
        <v>500</v>
      </c>
      <c r="P34" s="258"/>
      <c r="Q34" s="113">
        <v>1</v>
      </c>
      <c r="R34" s="112">
        <v>1</v>
      </c>
      <c r="S34" s="155">
        <f t="shared" si="53"/>
        <v>1</v>
      </c>
      <c r="T34" s="112">
        <v>1</v>
      </c>
      <c r="U34" s="83">
        <v>500</v>
      </c>
      <c r="V34" s="24">
        <f t="shared" si="54"/>
        <v>500</v>
      </c>
      <c r="W34" s="258"/>
      <c r="X34" s="113">
        <v>0</v>
      </c>
      <c r="Y34" s="112">
        <v>1</v>
      </c>
      <c r="Z34" s="155">
        <f t="shared" si="55"/>
        <v>0</v>
      </c>
      <c r="AA34" s="112">
        <v>1</v>
      </c>
      <c r="AB34" s="83">
        <v>500</v>
      </c>
      <c r="AC34" s="24">
        <f t="shared" si="56"/>
        <v>0</v>
      </c>
      <c r="AD34" s="258"/>
      <c r="AE34" s="21">
        <f>'Материальные запасы'!R27</f>
        <v>0</v>
      </c>
      <c r="AF34" s="108">
        <v>2</v>
      </c>
      <c r="AG34" s="83">
        <f t="shared" si="60"/>
        <v>500</v>
      </c>
      <c r="AH34" s="24">
        <f t="shared" si="61"/>
        <v>0</v>
      </c>
      <c r="AI34" s="266"/>
    </row>
    <row r="35" spans="1:35" outlineLevel="1" x14ac:dyDescent="0.25">
      <c r="A35" s="218">
        <v>20</v>
      </c>
      <c r="B35" s="15" t="s">
        <v>198</v>
      </c>
      <c r="C35" s="112">
        <v>1</v>
      </c>
      <c r="D35" s="112">
        <v>1</v>
      </c>
      <c r="E35" s="155">
        <f t="shared" si="4"/>
        <v>1</v>
      </c>
      <c r="F35" s="112">
        <v>1</v>
      </c>
      <c r="G35" s="83">
        <v>500</v>
      </c>
      <c r="H35" s="24">
        <f t="shared" si="59"/>
        <v>500</v>
      </c>
      <c r="I35" s="258"/>
      <c r="J35" s="113">
        <v>1</v>
      </c>
      <c r="K35" s="112">
        <v>1</v>
      </c>
      <c r="L35" s="155">
        <f t="shared" si="51"/>
        <v>1</v>
      </c>
      <c r="M35" s="112">
        <v>1</v>
      </c>
      <c r="N35" s="83">
        <v>500</v>
      </c>
      <c r="O35" s="24">
        <f t="shared" si="52"/>
        <v>500</v>
      </c>
      <c r="P35" s="258"/>
      <c r="Q35" s="113">
        <v>1</v>
      </c>
      <c r="R35" s="112">
        <v>1</v>
      </c>
      <c r="S35" s="155">
        <f t="shared" si="53"/>
        <v>1</v>
      </c>
      <c r="T35" s="112">
        <v>1</v>
      </c>
      <c r="U35" s="83">
        <v>500</v>
      </c>
      <c r="V35" s="24">
        <f t="shared" si="54"/>
        <v>500</v>
      </c>
      <c r="W35" s="258"/>
      <c r="X35" s="113">
        <v>0</v>
      </c>
      <c r="Y35" s="112">
        <v>1</v>
      </c>
      <c r="Z35" s="155">
        <f t="shared" si="55"/>
        <v>0</v>
      </c>
      <c r="AA35" s="112">
        <v>1</v>
      </c>
      <c r="AB35" s="83">
        <v>500</v>
      </c>
      <c r="AC35" s="24">
        <f t="shared" si="56"/>
        <v>0</v>
      </c>
      <c r="AD35" s="258"/>
      <c r="AE35" s="21">
        <f>'Материальные запасы'!R28</f>
        <v>0</v>
      </c>
      <c r="AF35" s="108">
        <v>2</v>
      </c>
      <c r="AG35" s="83">
        <f t="shared" si="60"/>
        <v>500</v>
      </c>
      <c r="AH35" s="24">
        <f t="shared" si="61"/>
        <v>0</v>
      </c>
      <c r="AI35" s="266"/>
    </row>
    <row r="36" spans="1:35" outlineLevel="1" x14ac:dyDescent="0.25">
      <c r="A36" s="218">
        <v>21</v>
      </c>
      <c r="B36" s="15" t="s">
        <v>199</v>
      </c>
      <c r="C36" s="112">
        <v>1</v>
      </c>
      <c r="D36" s="112">
        <v>1</v>
      </c>
      <c r="E36" s="155">
        <f t="shared" si="4"/>
        <v>1</v>
      </c>
      <c r="F36" s="112">
        <v>1</v>
      </c>
      <c r="G36" s="83">
        <v>775</v>
      </c>
      <c r="H36" s="24">
        <f t="shared" si="59"/>
        <v>775</v>
      </c>
      <c r="I36" s="258"/>
      <c r="J36" s="113">
        <v>1</v>
      </c>
      <c r="K36" s="112">
        <v>1</v>
      </c>
      <c r="L36" s="155">
        <f t="shared" si="51"/>
        <v>1</v>
      </c>
      <c r="M36" s="112">
        <v>1</v>
      </c>
      <c r="N36" s="83">
        <v>775</v>
      </c>
      <c r="O36" s="24">
        <f t="shared" si="52"/>
        <v>775</v>
      </c>
      <c r="P36" s="258"/>
      <c r="Q36" s="113">
        <v>1</v>
      </c>
      <c r="R36" s="112">
        <v>1</v>
      </c>
      <c r="S36" s="155">
        <f t="shared" si="53"/>
        <v>1</v>
      </c>
      <c r="T36" s="112">
        <v>1</v>
      </c>
      <c r="U36" s="83">
        <v>775</v>
      </c>
      <c r="V36" s="24">
        <f t="shared" si="54"/>
        <v>775</v>
      </c>
      <c r="W36" s="258"/>
      <c r="X36" s="113">
        <v>0</v>
      </c>
      <c r="Y36" s="112">
        <v>1</v>
      </c>
      <c r="Z36" s="155">
        <f t="shared" si="55"/>
        <v>0</v>
      </c>
      <c r="AA36" s="112">
        <v>1</v>
      </c>
      <c r="AB36" s="83">
        <v>775</v>
      </c>
      <c r="AC36" s="24">
        <f t="shared" si="56"/>
        <v>0</v>
      </c>
      <c r="AD36" s="258"/>
      <c r="AE36" s="21">
        <f>'Материальные запасы'!R29</f>
        <v>0</v>
      </c>
      <c r="AF36" s="108">
        <v>1</v>
      </c>
      <c r="AG36" s="83">
        <f t="shared" si="60"/>
        <v>775</v>
      </c>
      <c r="AH36" s="24">
        <f t="shared" si="61"/>
        <v>0</v>
      </c>
      <c r="AI36" s="266"/>
    </row>
    <row r="37" spans="1:35" outlineLevel="1" x14ac:dyDescent="0.25">
      <c r="A37" s="218">
        <v>22</v>
      </c>
      <c r="B37" s="15" t="s">
        <v>200</v>
      </c>
      <c r="C37" s="112">
        <v>6</v>
      </c>
      <c r="D37" s="112">
        <v>1</v>
      </c>
      <c r="E37" s="155">
        <f t="shared" si="4"/>
        <v>6</v>
      </c>
      <c r="F37" s="112">
        <v>1</v>
      </c>
      <c r="G37" s="83">
        <v>600</v>
      </c>
      <c r="H37" s="24">
        <f t="shared" si="59"/>
        <v>3600</v>
      </c>
      <c r="I37" s="258"/>
      <c r="J37" s="113">
        <v>4</v>
      </c>
      <c r="K37" s="112">
        <v>1</v>
      </c>
      <c r="L37" s="155">
        <f t="shared" si="51"/>
        <v>4</v>
      </c>
      <c r="M37" s="112">
        <v>1</v>
      </c>
      <c r="N37" s="83">
        <v>600</v>
      </c>
      <c r="O37" s="24">
        <f t="shared" si="52"/>
        <v>2400</v>
      </c>
      <c r="P37" s="258"/>
      <c r="Q37" s="113">
        <v>4</v>
      </c>
      <c r="R37" s="112">
        <v>1</v>
      </c>
      <c r="S37" s="155">
        <f t="shared" si="53"/>
        <v>4</v>
      </c>
      <c r="T37" s="112">
        <v>1</v>
      </c>
      <c r="U37" s="83">
        <v>600</v>
      </c>
      <c r="V37" s="24">
        <f t="shared" si="54"/>
        <v>2400</v>
      </c>
      <c r="W37" s="258"/>
      <c r="X37" s="113">
        <v>0</v>
      </c>
      <c r="Y37" s="112">
        <v>1</v>
      </c>
      <c r="Z37" s="155">
        <f t="shared" si="55"/>
        <v>0</v>
      </c>
      <c r="AA37" s="112">
        <v>1</v>
      </c>
      <c r="AB37" s="83">
        <v>600</v>
      </c>
      <c r="AC37" s="24">
        <f t="shared" si="56"/>
        <v>0</v>
      </c>
      <c r="AD37" s="258"/>
      <c r="AE37" s="21">
        <f>'Материальные запасы'!R30</f>
        <v>0</v>
      </c>
      <c r="AF37" s="108">
        <v>1</v>
      </c>
      <c r="AG37" s="83">
        <f t="shared" si="60"/>
        <v>600</v>
      </c>
      <c r="AH37" s="24">
        <f t="shared" si="61"/>
        <v>0</v>
      </c>
      <c r="AI37" s="266"/>
    </row>
    <row r="38" spans="1:35" outlineLevel="1" x14ac:dyDescent="0.25">
      <c r="A38" s="218">
        <v>23</v>
      </c>
      <c r="B38" s="15" t="s">
        <v>201</v>
      </c>
      <c r="C38" s="112">
        <v>4</v>
      </c>
      <c r="D38" s="112">
        <v>1</v>
      </c>
      <c r="E38" s="155">
        <f t="shared" si="4"/>
        <v>4</v>
      </c>
      <c r="F38" s="112">
        <v>1</v>
      </c>
      <c r="G38" s="83">
        <v>1500</v>
      </c>
      <c r="H38" s="24">
        <f t="shared" ref="H38:H40" si="62">G38*E38/F38</f>
        <v>6000</v>
      </c>
      <c r="I38" s="258"/>
      <c r="J38" s="113">
        <v>2</v>
      </c>
      <c r="K38" s="112">
        <v>1</v>
      </c>
      <c r="L38" s="155">
        <f t="shared" si="51"/>
        <v>2</v>
      </c>
      <c r="M38" s="112">
        <v>1</v>
      </c>
      <c r="N38" s="83">
        <v>1500</v>
      </c>
      <c r="O38" s="24">
        <f t="shared" si="52"/>
        <v>3000</v>
      </c>
      <c r="P38" s="258"/>
      <c r="Q38" s="113">
        <v>2</v>
      </c>
      <c r="R38" s="112">
        <v>1</v>
      </c>
      <c r="S38" s="155">
        <f t="shared" si="53"/>
        <v>2</v>
      </c>
      <c r="T38" s="112">
        <v>1</v>
      </c>
      <c r="U38" s="83">
        <v>1500</v>
      </c>
      <c r="V38" s="24">
        <f t="shared" si="54"/>
        <v>3000</v>
      </c>
      <c r="W38" s="258"/>
      <c r="X38" s="113">
        <v>1</v>
      </c>
      <c r="Y38" s="112">
        <v>1</v>
      </c>
      <c r="Z38" s="155">
        <f t="shared" si="55"/>
        <v>1</v>
      </c>
      <c r="AA38" s="112">
        <v>1</v>
      </c>
      <c r="AB38" s="83">
        <v>1500</v>
      </c>
      <c r="AC38" s="24">
        <f t="shared" si="56"/>
        <v>1500</v>
      </c>
      <c r="AD38" s="258"/>
      <c r="AE38" s="21">
        <f>'Материальные запасы'!R31</f>
        <v>1</v>
      </c>
      <c r="AF38" s="108">
        <v>1</v>
      </c>
      <c r="AG38" s="83">
        <f t="shared" ref="AG38:AG40" si="63">AB38</f>
        <v>1500</v>
      </c>
      <c r="AH38" s="24">
        <f t="shared" ref="AH38:AH40" si="64">AG38*AE38/AF38</f>
        <v>1500</v>
      </c>
      <c r="AI38" s="266"/>
    </row>
    <row r="39" spans="1:35" outlineLevel="1" x14ac:dyDescent="0.25">
      <c r="A39" s="218">
        <v>24</v>
      </c>
      <c r="B39" s="15" t="s">
        <v>202</v>
      </c>
      <c r="C39" s="112">
        <v>1</v>
      </c>
      <c r="D39" s="112">
        <v>1</v>
      </c>
      <c r="E39" s="155">
        <f t="shared" si="4"/>
        <v>1</v>
      </c>
      <c r="F39" s="112">
        <v>2</v>
      </c>
      <c r="G39" s="83">
        <v>6500</v>
      </c>
      <c r="H39" s="24">
        <f t="shared" si="62"/>
        <v>3250</v>
      </c>
      <c r="I39" s="258"/>
      <c r="J39" s="113">
        <v>1</v>
      </c>
      <c r="K39" s="112">
        <v>1</v>
      </c>
      <c r="L39" s="155">
        <f t="shared" si="51"/>
        <v>1</v>
      </c>
      <c r="M39" s="112">
        <v>2</v>
      </c>
      <c r="N39" s="83">
        <v>6500</v>
      </c>
      <c r="O39" s="24">
        <f t="shared" si="52"/>
        <v>3250</v>
      </c>
      <c r="P39" s="258"/>
      <c r="Q39" s="113">
        <v>1</v>
      </c>
      <c r="R39" s="112">
        <v>1</v>
      </c>
      <c r="S39" s="155">
        <f t="shared" si="53"/>
        <v>1</v>
      </c>
      <c r="T39" s="112">
        <v>2</v>
      </c>
      <c r="U39" s="83">
        <v>6500</v>
      </c>
      <c r="V39" s="24">
        <f t="shared" si="54"/>
        <v>3250</v>
      </c>
      <c r="W39" s="258"/>
      <c r="X39" s="113">
        <v>2</v>
      </c>
      <c r="Y39" s="112">
        <v>1</v>
      </c>
      <c r="Z39" s="155">
        <f t="shared" si="55"/>
        <v>2</v>
      </c>
      <c r="AA39" s="112">
        <v>2</v>
      </c>
      <c r="AB39" s="83">
        <v>6500</v>
      </c>
      <c r="AC39" s="24">
        <f t="shared" si="56"/>
        <v>6500</v>
      </c>
      <c r="AD39" s="258"/>
      <c r="AE39" s="21">
        <f>'Материальные запасы'!R32</f>
        <v>2</v>
      </c>
      <c r="AF39" s="108">
        <v>2</v>
      </c>
      <c r="AG39" s="83">
        <f t="shared" si="63"/>
        <v>6500</v>
      </c>
      <c r="AH39" s="24">
        <f t="shared" si="64"/>
        <v>6500</v>
      </c>
      <c r="AI39" s="266"/>
    </row>
    <row r="40" spans="1:35" outlineLevel="1" x14ac:dyDescent="0.25">
      <c r="A40" s="218">
        <v>25</v>
      </c>
      <c r="B40" s="15" t="s">
        <v>203</v>
      </c>
      <c r="C40" s="112">
        <v>1</v>
      </c>
      <c r="D40" s="112">
        <v>1</v>
      </c>
      <c r="E40" s="155">
        <f t="shared" si="4"/>
        <v>1</v>
      </c>
      <c r="F40" s="112">
        <v>2</v>
      </c>
      <c r="G40" s="83">
        <v>2500</v>
      </c>
      <c r="H40" s="24">
        <f t="shared" si="62"/>
        <v>1250</v>
      </c>
      <c r="I40" s="258"/>
      <c r="J40" s="113">
        <v>1</v>
      </c>
      <c r="K40" s="112">
        <v>1</v>
      </c>
      <c r="L40" s="155">
        <f t="shared" si="51"/>
        <v>1</v>
      </c>
      <c r="M40" s="112">
        <v>2</v>
      </c>
      <c r="N40" s="83">
        <v>2500</v>
      </c>
      <c r="O40" s="24">
        <f t="shared" si="52"/>
        <v>1250</v>
      </c>
      <c r="P40" s="258"/>
      <c r="Q40" s="113">
        <v>1</v>
      </c>
      <c r="R40" s="112">
        <v>1</v>
      </c>
      <c r="S40" s="155">
        <f t="shared" si="53"/>
        <v>1</v>
      </c>
      <c r="T40" s="112">
        <v>2</v>
      </c>
      <c r="U40" s="83">
        <v>2500</v>
      </c>
      <c r="V40" s="24">
        <f t="shared" si="54"/>
        <v>1250</v>
      </c>
      <c r="W40" s="258"/>
      <c r="X40" s="113">
        <v>3</v>
      </c>
      <c r="Y40" s="112">
        <v>1</v>
      </c>
      <c r="Z40" s="155">
        <f t="shared" si="55"/>
        <v>3</v>
      </c>
      <c r="AA40" s="112">
        <v>2</v>
      </c>
      <c r="AB40" s="83">
        <v>2500</v>
      </c>
      <c r="AC40" s="24">
        <f t="shared" si="56"/>
        <v>3750</v>
      </c>
      <c r="AD40" s="258"/>
      <c r="AE40" s="21">
        <f>'Материальные запасы'!R33</f>
        <v>3</v>
      </c>
      <c r="AF40" s="108">
        <v>2</v>
      </c>
      <c r="AG40" s="83">
        <f t="shared" si="63"/>
        <v>2500</v>
      </c>
      <c r="AH40" s="24">
        <f t="shared" si="64"/>
        <v>3750</v>
      </c>
      <c r="AI40" s="267"/>
    </row>
    <row r="41" spans="1:35" ht="15" customHeight="1" outlineLevel="1" x14ac:dyDescent="0.25">
      <c r="A41" s="213"/>
      <c r="B41" s="179"/>
      <c r="C41" s="273" t="s">
        <v>216</v>
      </c>
      <c r="D41" s="273"/>
      <c r="E41" s="273"/>
      <c r="F41" s="273"/>
      <c r="G41" s="274"/>
      <c r="H41" s="151">
        <f>SUM(H13:H40)</f>
        <v>117101</v>
      </c>
      <c r="I41" s="259"/>
      <c r="J41" s="273" t="s">
        <v>216</v>
      </c>
      <c r="K41" s="273"/>
      <c r="L41" s="273"/>
      <c r="M41" s="273"/>
      <c r="N41" s="274"/>
      <c r="O41" s="151">
        <f>SUM(O13:O40)</f>
        <v>89740</v>
      </c>
      <c r="P41" s="259"/>
      <c r="Q41" s="273" t="s">
        <v>216</v>
      </c>
      <c r="R41" s="273"/>
      <c r="S41" s="273"/>
      <c r="T41" s="273"/>
      <c r="U41" s="274"/>
      <c r="V41" s="151">
        <f>SUM(V13:V40)</f>
        <v>79057.8</v>
      </c>
      <c r="W41" s="259"/>
      <c r="X41" s="275" t="s">
        <v>216</v>
      </c>
      <c r="Y41" s="273"/>
      <c r="Z41" s="273"/>
      <c r="AA41" s="273"/>
      <c r="AB41" s="274"/>
      <c r="AC41" s="151">
        <f>SUM(AC13:AC40)</f>
        <v>19064.857142857141</v>
      </c>
      <c r="AD41" s="259"/>
      <c r="AE41" s="21" t="s">
        <v>40</v>
      </c>
      <c r="AF41" s="44" t="s">
        <v>40</v>
      </c>
      <c r="AG41" s="102" t="s">
        <v>40</v>
      </c>
      <c r="AH41" s="25">
        <f>SUM(AH13:AH37)</f>
        <v>7314.8571428571422</v>
      </c>
      <c r="AI41" s="44" t="s">
        <v>40</v>
      </c>
    </row>
    <row r="42" spans="1:35" s="134" customFormat="1" ht="15" customHeight="1" outlineLevel="1" collapsed="1" thickBot="1" x14ac:dyDescent="0.3">
      <c r="A42" s="185"/>
      <c r="B42" s="186"/>
      <c r="C42" s="186"/>
      <c r="D42" s="186"/>
      <c r="E42" s="186"/>
      <c r="F42" s="186"/>
      <c r="G42" s="187"/>
      <c r="H42" s="188"/>
      <c r="I42" s="189"/>
      <c r="J42" s="183"/>
      <c r="K42" s="183"/>
      <c r="L42" s="159"/>
      <c r="M42" s="184"/>
      <c r="N42" s="184"/>
      <c r="O42" s="136"/>
      <c r="P42" s="135"/>
      <c r="Q42" s="135"/>
      <c r="R42" s="135"/>
      <c r="S42" s="135"/>
      <c r="T42" s="184"/>
      <c r="U42" s="184"/>
      <c r="V42" s="136"/>
      <c r="W42" s="135"/>
      <c r="X42" s="135"/>
      <c r="Y42" s="135"/>
      <c r="Z42" s="135"/>
      <c r="AA42" s="184"/>
      <c r="AB42" s="184"/>
      <c r="AC42" s="136"/>
      <c r="AD42" s="184"/>
      <c r="AE42" s="135"/>
      <c r="AF42" s="135"/>
      <c r="AG42" s="135"/>
      <c r="AH42" s="136"/>
      <c r="AI42" s="135"/>
    </row>
    <row r="43" spans="1:35" ht="45" outlineLevel="1" x14ac:dyDescent="0.25">
      <c r="A43" s="190" t="s">
        <v>0</v>
      </c>
      <c r="B43" s="191" t="s">
        <v>224</v>
      </c>
      <c r="C43" s="191" t="s">
        <v>225</v>
      </c>
      <c r="D43" s="191" t="s">
        <v>4</v>
      </c>
      <c r="E43" s="192" t="s">
        <v>226</v>
      </c>
      <c r="F43" s="192" t="s">
        <v>213</v>
      </c>
      <c r="G43" s="192" t="s">
        <v>220</v>
      </c>
      <c r="H43" s="192" t="s">
        <v>219</v>
      </c>
      <c r="I43" s="193" t="s">
        <v>5</v>
      </c>
      <c r="J43" s="191" t="s">
        <v>225</v>
      </c>
      <c r="K43" s="191" t="s">
        <v>4</v>
      </c>
      <c r="L43" s="192" t="s">
        <v>226</v>
      </c>
      <c r="M43" s="192" t="s">
        <v>213</v>
      </c>
      <c r="N43" s="192" t="s">
        <v>220</v>
      </c>
      <c r="O43" s="192" t="s">
        <v>219</v>
      </c>
      <c r="P43" s="193" t="s">
        <v>5</v>
      </c>
      <c r="Q43" s="191" t="s">
        <v>225</v>
      </c>
      <c r="R43" s="191" t="s">
        <v>4</v>
      </c>
      <c r="S43" s="192" t="s">
        <v>226</v>
      </c>
      <c r="T43" s="192" t="s">
        <v>213</v>
      </c>
      <c r="U43" s="192" t="s">
        <v>220</v>
      </c>
      <c r="V43" s="192" t="s">
        <v>219</v>
      </c>
      <c r="W43" s="193" t="s">
        <v>5</v>
      </c>
      <c r="X43" s="191" t="s">
        <v>225</v>
      </c>
      <c r="Y43" s="191" t="s">
        <v>4</v>
      </c>
      <c r="Z43" s="192" t="s">
        <v>226</v>
      </c>
      <c r="AA43" s="192" t="s">
        <v>213</v>
      </c>
      <c r="AB43" s="192" t="s">
        <v>220</v>
      </c>
      <c r="AC43" s="192" t="s">
        <v>219</v>
      </c>
      <c r="AD43" s="193" t="s">
        <v>5</v>
      </c>
      <c r="AE43" s="21"/>
      <c r="AF43" s="112"/>
      <c r="AG43" s="112"/>
      <c r="AH43" s="25"/>
      <c r="AI43" s="112"/>
    </row>
    <row r="44" spans="1:35" ht="15" customHeight="1" outlineLevel="1" x14ac:dyDescent="0.25">
      <c r="A44" s="164">
        <v>1</v>
      </c>
      <c r="B44" s="130">
        <v>2</v>
      </c>
      <c r="C44" s="130">
        <v>3</v>
      </c>
      <c r="D44" s="130">
        <v>4</v>
      </c>
      <c r="E44" s="130" t="s">
        <v>214</v>
      </c>
      <c r="F44" s="130">
        <v>6</v>
      </c>
      <c r="G44" s="130">
        <v>7</v>
      </c>
      <c r="H44" s="130" t="s">
        <v>215</v>
      </c>
      <c r="I44" s="163">
        <v>9</v>
      </c>
      <c r="J44" s="130">
        <v>3</v>
      </c>
      <c r="K44" s="130">
        <v>4</v>
      </c>
      <c r="L44" s="130" t="s">
        <v>214</v>
      </c>
      <c r="M44" s="130">
        <v>6</v>
      </c>
      <c r="N44" s="130">
        <v>7</v>
      </c>
      <c r="O44" s="130" t="s">
        <v>215</v>
      </c>
      <c r="P44" s="163">
        <v>9</v>
      </c>
      <c r="Q44" s="130">
        <v>3</v>
      </c>
      <c r="R44" s="130">
        <v>4</v>
      </c>
      <c r="S44" s="130" t="s">
        <v>214</v>
      </c>
      <c r="T44" s="130">
        <v>6</v>
      </c>
      <c r="U44" s="130">
        <v>7</v>
      </c>
      <c r="V44" s="130" t="s">
        <v>215</v>
      </c>
      <c r="W44" s="163">
        <v>9</v>
      </c>
      <c r="X44" s="130">
        <v>3</v>
      </c>
      <c r="Y44" s="130">
        <v>4</v>
      </c>
      <c r="Z44" s="130" t="s">
        <v>214</v>
      </c>
      <c r="AA44" s="130">
        <v>6</v>
      </c>
      <c r="AB44" s="130">
        <v>7</v>
      </c>
      <c r="AC44" s="130" t="s">
        <v>215</v>
      </c>
      <c r="AD44" s="163">
        <v>9</v>
      </c>
      <c r="AE44" s="21"/>
      <c r="AF44" s="112"/>
      <c r="AG44" s="112"/>
      <c r="AH44" s="25"/>
      <c r="AI44" s="112"/>
    </row>
    <row r="45" spans="1:35" outlineLevel="1" x14ac:dyDescent="0.25">
      <c r="A45" s="276" t="s">
        <v>31</v>
      </c>
      <c r="B45" s="277"/>
      <c r="C45" s="277"/>
      <c r="D45" s="277"/>
      <c r="E45" s="277"/>
      <c r="F45" s="277"/>
      <c r="G45" s="277"/>
      <c r="H45" s="277"/>
      <c r="I45" s="278"/>
      <c r="J45" s="175"/>
      <c r="K45" s="175"/>
      <c r="L45" s="131"/>
      <c r="M45" s="43"/>
      <c r="N45" s="43"/>
      <c r="O45" s="43"/>
      <c r="P45" s="43"/>
      <c r="Q45" s="115"/>
      <c r="R45" s="115"/>
      <c r="S45" s="43"/>
      <c r="T45" s="43"/>
      <c r="U45" s="43"/>
      <c r="V45" s="43"/>
      <c r="W45" s="43"/>
      <c r="X45" s="115"/>
      <c r="Y45" s="115"/>
      <c r="Z45" s="43"/>
      <c r="AA45" s="43"/>
      <c r="AB45" s="43"/>
      <c r="AC45" s="43"/>
      <c r="AD45" s="43"/>
      <c r="AE45" s="43"/>
      <c r="AF45" s="43"/>
      <c r="AG45" s="43"/>
      <c r="AH45" s="43"/>
      <c r="AI45" s="43"/>
    </row>
    <row r="46" spans="1:35" ht="38.25" outlineLevel="1" x14ac:dyDescent="0.25">
      <c r="A46" s="220">
        <v>1</v>
      </c>
      <c r="B46" s="26" t="s">
        <v>32</v>
      </c>
      <c r="C46" s="127">
        <v>8</v>
      </c>
      <c r="D46" s="127">
        <v>1</v>
      </c>
      <c r="E46" s="21">
        <f t="shared" ref="E46:E48" si="65">C46/D46</f>
        <v>8</v>
      </c>
      <c r="F46" s="127">
        <v>1</v>
      </c>
      <c r="G46" s="12">
        <v>7200</v>
      </c>
      <c r="H46" s="24">
        <f>G46*E46/F46</f>
        <v>57600</v>
      </c>
      <c r="I46" s="169" t="s">
        <v>41</v>
      </c>
      <c r="J46" s="127">
        <v>9</v>
      </c>
      <c r="K46" s="127">
        <v>1</v>
      </c>
      <c r="L46" s="21">
        <f t="shared" ref="L46:L48" si="66">J46/K46</f>
        <v>9</v>
      </c>
      <c r="M46" s="127">
        <v>1</v>
      </c>
      <c r="N46" s="12">
        <v>7200</v>
      </c>
      <c r="O46" s="24">
        <f>N46*L46/M46</f>
        <v>64800</v>
      </c>
      <c r="P46" s="8" t="s">
        <v>41</v>
      </c>
      <c r="Q46" s="127">
        <v>11</v>
      </c>
      <c r="R46" s="127">
        <v>1</v>
      </c>
      <c r="S46" s="21">
        <f t="shared" ref="S46:S48" si="67">Q46/R46</f>
        <v>11</v>
      </c>
      <c r="T46" s="127">
        <v>1</v>
      </c>
      <c r="U46" s="12">
        <v>7200</v>
      </c>
      <c r="V46" s="24">
        <f>U46*S46/T46</f>
        <v>79200</v>
      </c>
      <c r="W46" s="43" t="s">
        <v>41</v>
      </c>
      <c r="X46" s="127">
        <v>2</v>
      </c>
      <c r="Y46" s="127">
        <v>1</v>
      </c>
      <c r="Z46" s="21">
        <f t="shared" ref="Z46:Z48" si="68">X46/Y46</f>
        <v>2</v>
      </c>
      <c r="AA46" s="127">
        <v>1</v>
      </c>
      <c r="AB46" s="12">
        <v>7200</v>
      </c>
      <c r="AC46" s="24">
        <f>AB46*Z46/AA46</f>
        <v>14400</v>
      </c>
      <c r="AD46" s="43" t="s">
        <v>41</v>
      </c>
      <c r="AE46" s="21">
        <f>'Иные нормативные затраты'!S5</f>
        <v>0</v>
      </c>
      <c r="AF46" s="70">
        <v>1</v>
      </c>
      <c r="AG46" s="12">
        <v>7200</v>
      </c>
      <c r="AH46" s="21">
        <f>AG46*AE46/AF46</f>
        <v>0</v>
      </c>
      <c r="AI46" s="43" t="s">
        <v>41</v>
      </c>
    </row>
    <row r="47" spans="1:35" ht="38.25" outlineLevel="1" x14ac:dyDescent="0.25">
      <c r="A47" s="205">
        <v>2</v>
      </c>
      <c r="B47" s="26" t="s">
        <v>33</v>
      </c>
      <c r="C47" s="127">
        <v>116</v>
      </c>
      <c r="D47" s="127">
        <v>1</v>
      </c>
      <c r="E47" s="21">
        <f t="shared" si="65"/>
        <v>116</v>
      </c>
      <c r="F47" s="127">
        <v>1</v>
      </c>
      <c r="G47" s="12">
        <v>250</v>
      </c>
      <c r="H47" s="24">
        <f>G47*E47/F47</f>
        <v>29000</v>
      </c>
      <c r="I47" s="169" t="s">
        <v>45</v>
      </c>
      <c r="J47" s="127">
        <v>173</v>
      </c>
      <c r="K47" s="127">
        <v>1</v>
      </c>
      <c r="L47" s="21">
        <f t="shared" si="66"/>
        <v>173</v>
      </c>
      <c r="M47" s="127">
        <v>1</v>
      </c>
      <c r="N47" s="12">
        <v>250</v>
      </c>
      <c r="O47" s="24">
        <f>N47*L47/M47</f>
        <v>43250</v>
      </c>
      <c r="P47" s="8" t="s">
        <v>45</v>
      </c>
      <c r="Q47" s="127">
        <v>200</v>
      </c>
      <c r="R47" s="127">
        <v>1</v>
      </c>
      <c r="S47" s="21">
        <f t="shared" si="67"/>
        <v>200</v>
      </c>
      <c r="T47" s="127">
        <v>1</v>
      </c>
      <c r="U47" s="12">
        <v>250</v>
      </c>
      <c r="V47" s="24">
        <f>U47*S47/T47</f>
        <v>50000</v>
      </c>
      <c r="W47" s="43" t="s">
        <v>45</v>
      </c>
      <c r="X47" s="127">
        <v>42</v>
      </c>
      <c r="Y47" s="127">
        <v>1</v>
      </c>
      <c r="Z47" s="21">
        <f t="shared" si="68"/>
        <v>42</v>
      </c>
      <c r="AA47" s="127">
        <v>1</v>
      </c>
      <c r="AB47" s="12">
        <v>250</v>
      </c>
      <c r="AC47" s="24">
        <f>AB47*Z47/AA47</f>
        <v>10500</v>
      </c>
      <c r="AD47" s="43" t="s">
        <v>45</v>
      </c>
      <c r="AE47" s="21">
        <f>'Иные нормативные затраты'!S6</f>
        <v>0</v>
      </c>
      <c r="AF47" s="70">
        <v>1</v>
      </c>
      <c r="AG47" s="12">
        <v>250</v>
      </c>
      <c r="AH47" s="21">
        <f>AG47*AE47/AF47</f>
        <v>0</v>
      </c>
      <c r="AI47" s="43" t="s">
        <v>45</v>
      </c>
    </row>
    <row r="48" spans="1:35" ht="165.75" outlineLevel="1" x14ac:dyDescent="0.25">
      <c r="A48" s="205">
        <v>3</v>
      </c>
      <c r="B48" s="26" t="s">
        <v>236</v>
      </c>
      <c r="C48" s="127">
        <v>116</v>
      </c>
      <c r="D48" s="127">
        <v>1</v>
      </c>
      <c r="E48" s="21">
        <f t="shared" si="65"/>
        <v>116</v>
      </c>
      <c r="F48" s="127">
        <v>1</v>
      </c>
      <c r="G48" s="12">
        <v>2500</v>
      </c>
      <c r="H48" s="24">
        <f>G48*E48/F48</f>
        <v>290000</v>
      </c>
      <c r="I48" s="169" t="s">
        <v>46</v>
      </c>
      <c r="J48" s="127">
        <v>173</v>
      </c>
      <c r="K48" s="127">
        <v>1</v>
      </c>
      <c r="L48" s="21">
        <f t="shared" si="66"/>
        <v>173</v>
      </c>
      <c r="M48" s="127">
        <v>1</v>
      </c>
      <c r="N48" s="12">
        <v>2500</v>
      </c>
      <c r="O48" s="24">
        <f>N48*L48/M48</f>
        <v>432500</v>
      </c>
      <c r="P48" s="8" t="s">
        <v>46</v>
      </c>
      <c r="Q48" s="127">
        <v>200</v>
      </c>
      <c r="R48" s="127">
        <v>1</v>
      </c>
      <c r="S48" s="21">
        <f t="shared" si="67"/>
        <v>200</v>
      </c>
      <c r="T48" s="127">
        <v>1</v>
      </c>
      <c r="U48" s="12">
        <v>2500</v>
      </c>
      <c r="V48" s="24">
        <f>U48*S48/T48</f>
        <v>500000</v>
      </c>
      <c r="W48" s="43" t="s">
        <v>46</v>
      </c>
      <c r="X48" s="127">
        <v>42</v>
      </c>
      <c r="Y48" s="127">
        <v>1</v>
      </c>
      <c r="Z48" s="21">
        <f t="shared" si="68"/>
        <v>42</v>
      </c>
      <c r="AA48" s="127">
        <v>1</v>
      </c>
      <c r="AB48" s="12">
        <v>2500</v>
      </c>
      <c r="AC48" s="24">
        <f>AB48*Z48/AA48</f>
        <v>105000</v>
      </c>
      <c r="AD48" s="43" t="s">
        <v>46</v>
      </c>
      <c r="AE48" s="21">
        <f>'Иные нормативные затраты'!S7</f>
        <v>0</v>
      </c>
      <c r="AF48" s="70">
        <v>1</v>
      </c>
      <c r="AG48" s="12">
        <v>2500</v>
      </c>
      <c r="AH48" s="21">
        <f>AG48*AE48/AF48</f>
        <v>0</v>
      </c>
      <c r="AI48" s="43" t="s">
        <v>46</v>
      </c>
    </row>
    <row r="49" spans="1:35" ht="15" customHeight="1" outlineLevel="1" x14ac:dyDescent="0.25">
      <c r="A49" s="221"/>
      <c r="B49" s="214"/>
      <c r="C49" s="271" t="s">
        <v>221</v>
      </c>
      <c r="D49" s="271"/>
      <c r="E49" s="271"/>
      <c r="F49" s="271"/>
      <c r="G49" s="272"/>
      <c r="H49" s="151">
        <f>SUM(H46:H48)</f>
        <v>376600</v>
      </c>
      <c r="I49" s="170"/>
      <c r="J49" s="271" t="s">
        <v>221</v>
      </c>
      <c r="K49" s="271"/>
      <c r="L49" s="271"/>
      <c r="M49" s="271"/>
      <c r="N49" s="272"/>
      <c r="O49" s="151">
        <f>SUM(O46:O48)</f>
        <v>540550</v>
      </c>
      <c r="P49" s="170"/>
      <c r="Q49" s="271" t="s">
        <v>221</v>
      </c>
      <c r="R49" s="271"/>
      <c r="S49" s="271"/>
      <c r="T49" s="271"/>
      <c r="U49" s="272"/>
      <c r="V49" s="151">
        <f>SUM(V46:V48)</f>
        <v>629200</v>
      </c>
      <c r="W49" s="170"/>
      <c r="X49" s="271" t="s">
        <v>221</v>
      </c>
      <c r="Y49" s="271"/>
      <c r="Z49" s="271"/>
      <c r="AA49" s="271"/>
      <c r="AB49" s="272"/>
      <c r="AC49" s="151">
        <f>SUM(AC46:AC48)</f>
        <v>129900</v>
      </c>
      <c r="AD49" s="170"/>
      <c r="AE49" s="44" t="s">
        <v>40</v>
      </c>
      <c r="AF49" s="44" t="s">
        <v>40</v>
      </c>
      <c r="AG49" s="44" t="s">
        <v>40</v>
      </c>
      <c r="AH49" s="14">
        <f>SUM(AH46:AH48)</f>
        <v>0</v>
      </c>
      <c r="AI49" s="44" t="s">
        <v>40</v>
      </c>
    </row>
    <row r="50" spans="1:35" ht="15.75" thickBot="1" x14ac:dyDescent="0.3">
      <c r="A50" s="222"/>
      <c r="B50" s="223"/>
      <c r="C50" s="268" t="s">
        <v>222</v>
      </c>
      <c r="D50" s="268"/>
      <c r="E50" s="268"/>
      <c r="F50" s="268"/>
      <c r="G50" s="269"/>
      <c r="H50" s="171">
        <f>H49+H41+H7</f>
        <v>551172.75536219182</v>
      </c>
      <c r="I50" s="172"/>
      <c r="J50" s="268" t="s">
        <v>222</v>
      </c>
      <c r="K50" s="268"/>
      <c r="L50" s="268"/>
      <c r="M50" s="268"/>
      <c r="N50" s="269"/>
      <c r="O50" s="171">
        <f>O49+O41+O7</f>
        <v>665247.89108213084</v>
      </c>
      <c r="P50" s="172"/>
      <c r="Q50" s="268" t="s">
        <v>222</v>
      </c>
      <c r="R50" s="268"/>
      <c r="S50" s="268"/>
      <c r="T50" s="268"/>
      <c r="U50" s="269"/>
      <c r="V50" s="171">
        <f>V49+V41+V7</f>
        <v>722994.14752876712</v>
      </c>
      <c r="W50" s="172"/>
      <c r="X50" s="268" t="s">
        <v>222</v>
      </c>
      <c r="Y50" s="268"/>
      <c r="Z50" s="268"/>
      <c r="AA50" s="268"/>
      <c r="AB50" s="269"/>
      <c r="AC50" s="171">
        <f>AC49+AC41+AC7</f>
        <v>155105.00194651011</v>
      </c>
      <c r="AD50" s="172"/>
      <c r="AE50" s="48"/>
      <c r="AF50" s="48"/>
      <c r="AG50" s="48"/>
      <c r="AH50" s="116">
        <f>AH7+AH41</f>
        <v>12577.838312676668</v>
      </c>
      <c r="AI50" s="112" t="s">
        <v>40</v>
      </c>
    </row>
    <row r="52" spans="1:35" x14ac:dyDescent="0.25">
      <c r="H52" s="224"/>
      <c r="O52" s="224">
        <f>O49</f>
        <v>540550</v>
      </c>
      <c r="V52" s="224">
        <f>V49</f>
        <v>629200</v>
      </c>
      <c r="AC52" s="224">
        <f>AC49</f>
        <v>129900</v>
      </c>
    </row>
    <row r="53" spans="1:35" x14ac:dyDescent="0.25">
      <c r="H53" s="224"/>
      <c r="O53" s="224">
        <f>O41</f>
        <v>89740</v>
      </c>
      <c r="V53" s="224">
        <f>V41</f>
        <v>79057.8</v>
      </c>
      <c r="AC53" s="224">
        <f>AC41</f>
        <v>19064.857142857141</v>
      </c>
    </row>
    <row r="54" spans="1:35" x14ac:dyDescent="0.25">
      <c r="H54" s="224"/>
      <c r="O54" s="224">
        <f>O7</f>
        <v>34957.891082130896</v>
      </c>
      <c r="V54" s="224">
        <f>V7</f>
        <v>14736.347528767124</v>
      </c>
      <c r="AC54" s="224">
        <f>AC7</f>
        <v>6140.1448036529682</v>
      </c>
    </row>
  </sheetData>
  <mergeCells count="31">
    <mergeCell ref="X50:AB50"/>
    <mergeCell ref="Q7:U7"/>
    <mergeCell ref="X7:AB7"/>
    <mergeCell ref="C7:G7"/>
    <mergeCell ref="C41:G41"/>
    <mergeCell ref="J41:N41"/>
    <mergeCell ref="Q41:U41"/>
    <mergeCell ref="X41:AB41"/>
    <mergeCell ref="C49:G49"/>
    <mergeCell ref="J49:N49"/>
    <mergeCell ref="Q49:U49"/>
    <mergeCell ref="X49:AB49"/>
    <mergeCell ref="C50:G50"/>
    <mergeCell ref="J50:N50"/>
    <mergeCell ref="Q50:U50"/>
    <mergeCell ref="A45:I45"/>
    <mergeCell ref="AE1:AI1"/>
    <mergeCell ref="X1:AD1"/>
    <mergeCell ref="Q1:W1"/>
    <mergeCell ref="J1:P1"/>
    <mergeCell ref="AI13:AI40"/>
    <mergeCell ref="W5:W6"/>
    <mergeCell ref="AD5:AD6"/>
    <mergeCell ref="W12:W41"/>
    <mergeCell ref="AD12:AD41"/>
    <mergeCell ref="I5:I6"/>
    <mergeCell ref="C1:I1"/>
    <mergeCell ref="A4:I4"/>
    <mergeCell ref="I12:I41"/>
    <mergeCell ref="P5:P6"/>
    <mergeCell ref="P12:P4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43" workbookViewId="0">
      <selection activeCell="E49" sqref="E49"/>
    </sheetView>
  </sheetViews>
  <sheetFormatPr defaultRowHeight="15" x14ac:dyDescent="0.25"/>
  <cols>
    <col min="1" max="1" width="37.7109375" customWidth="1"/>
    <col min="2" max="2" width="18.42578125" customWidth="1"/>
    <col min="3" max="3" width="14.42578125" customWidth="1"/>
    <col min="4" max="4" width="15.85546875" customWidth="1"/>
    <col min="5" max="5" width="17.5703125" style="39" customWidth="1"/>
    <col min="6" max="6" width="33" customWidth="1"/>
  </cols>
  <sheetData>
    <row r="1" spans="1:7" ht="150" customHeight="1" x14ac:dyDescent="0.25">
      <c r="A1" s="13" t="s">
        <v>106</v>
      </c>
      <c r="B1" s="13" t="s">
        <v>105</v>
      </c>
      <c r="C1" s="13" t="s">
        <v>103</v>
      </c>
      <c r="D1" s="13" t="s">
        <v>104</v>
      </c>
      <c r="E1" s="33" t="s">
        <v>47</v>
      </c>
      <c r="F1" s="13" t="s">
        <v>27</v>
      </c>
      <c r="G1" s="84"/>
    </row>
    <row r="2" spans="1:7" x14ac:dyDescent="0.25">
      <c r="A2" s="28">
        <v>1</v>
      </c>
      <c r="B2" s="28"/>
      <c r="C2" s="28">
        <v>2</v>
      </c>
      <c r="D2" s="28">
        <v>3</v>
      </c>
      <c r="E2" s="32" t="s">
        <v>48</v>
      </c>
      <c r="F2" s="28">
        <v>5</v>
      </c>
    </row>
    <row r="3" spans="1:7" x14ac:dyDescent="0.25">
      <c r="A3" s="279" t="s">
        <v>49</v>
      </c>
      <c r="B3" s="280"/>
      <c r="C3" s="280"/>
      <c r="D3" s="280"/>
      <c r="E3" s="280"/>
      <c r="F3" s="281"/>
    </row>
    <row r="4" spans="1:7" x14ac:dyDescent="0.25">
      <c r="A4" s="109" t="s">
        <v>51</v>
      </c>
      <c r="B4" s="29" t="s">
        <v>108</v>
      </c>
      <c r="C4" s="85">
        <v>3250000</v>
      </c>
      <c r="D4" s="85">
        <v>3.8</v>
      </c>
      <c r="E4" s="34">
        <f t="shared" ref="E4:E7" si="0">C4*D4</f>
        <v>12350000</v>
      </c>
      <c r="F4" s="245"/>
    </row>
    <row r="5" spans="1:7" x14ac:dyDescent="0.25">
      <c r="A5" s="109" t="s">
        <v>52</v>
      </c>
      <c r="B5" s="109" t="s">
        <v>174</v>
      </c>
      <c r="C5" s="85">
        <v>1760</v>
      </c>
      <c r="D5" s="85">
        <v>907.89</v>
      </c>
      <c r="E5" s="34">
        <f t="shared" si="0"/>
        <v>1597886.4</v>
      </c>
      <c r="F5" s="246"/>
    </row>
    <row r="6" spans="1:7" x14ac:dyDescent="0.25">
      <c r="A6" s="109" t="s">
        <v>54</v>
      </c>
      <c r="B6" s="109" t="s">
        <v>107</v>
      </c>
      <c r="C6" s="85">
        <v>9936</v>
      </c>
      <c r="D6" s="85">
        <v>22.41</v>
      </c>
      <c r="E6" s="34">
        <f t="shared" si="0"/>
        <v>222665.76</v>
      </c>
      <c r="F6" s="246"/>
    </row>
    <row r="7" spans="1:7" x14ac:dyDescent="0.25">
      <c r="A7" s="109" t="s">
        <v>55</v>
      </c>
      <c r="B7" s="109" t="s">
        <v>107</v>
      </c>
      <c r="C7" s="85">
        <v>9936</v>
      </c>
      <c r="D7" s="85">
        <v>14.71</v>
      </c>
      <c r="E7" s="34">
        <f t="shared" si="0"/>
        <v>146158.56</v>
      </c>
      <c r="F7" s="246"/>
    </row>
    <row r="8" spans="1:7" x14ac:dyDescent="0.25">
      <c r="A8" s="109"/>
      <c r="B8" s="109"/>
      <c r="C8" s="14"/>
      <c r="D8" s="14"/>
      <c r="E8" s="35"/>
      <c r="F8" s="247"/>
    </row>
    <row r="9" spans="1:7" x14ac:dyDescent="0.25">
      <c r="A9" s="23" t="s">
        <v>56</v>
      </c>
      <c r="B9" s="23"/>
      <c r="C9" s="21" t="s">
        <v>40</v>
      </c>
      <c r="D9" s="21" t="s">
        <v>40</v>
      </c>
      <c r="E9" s="35">
        <f>SUM(E4:E8)</f>
        <v>14316710.720000001</v>
      </c>
      <c r="F9" s="21" t="s">
        <v>40</v>
      </c>
    </row>
    <row r="10" spans="1:7" ht="38.25" customHeight="1" x14ac:dyDescent="0.25">
      <c r="A10" s="279" t="s">
        <v>57</v>
      </c>
      <c r="B10" s="280"/>
      <c r="C10" s="280"/>
      <c r="D10" s="280"/>
      <c r="E10" s="280"/>
      <c r="F10" s="281"/>
    </row>
    <row r="11" spans="1:7" ht="38.25" x14ac:dyDescent="0.25">
      <c r="A11" s="109" t="s">
        <v>58</v>
      </c>
      <c r="B11" s="5" t="s">
        <v>109</v>
      </c>
      <c r="C11" s="127">
        <v>1</v>
      </c>
      <c r="D11" s="85">
        <v>227882</v>
      </c>
      <c r="E11" s="36">
        <f>C11*D11</f>
        <v>227882</v>
      </c>
      <c r="F11" s="245" t="s">
        <v>204</v>
      </c>
    </row>
    <row r="12" spans="1:7" ht="64.5" x14ac:dyDescent="0.25">
      <c r="A12" s="109" t="s">
        <v>167</v>
      </c>
      <c r="B12" s="5" t="s">
        <v>110</v>
      </c>
      <c r="C12" s="127">
        <v>1</v>
      </c>
      <c r="D12" s="85">
        <v>628914</v>
      </c>
      <c r="E12" s="36">
        <f>C12*D12</f>
        <v>628914</v>
      </c>
      <c r="F12" s="246"/>
    </row>
    <row r="13" spans="1:7" ht="39" x14ac:dyDescent="0.25">
      <c r="A13" s="109" t="s">
        <v>59</v>
      </c>
      <c r="B13" s="5" t="s">
        <v>111</v>
      </c>
      <c r="C13" s="127"/>
      <c r="D13" s="85"/>
      <c r="E13" s="36">
        <f>C13*D13</f>
        <v>0</v>
      </c>
      <c r="F13" s="246"/>
    </row>
    <row r="14" spans="1:7" ht="51.75" x14ac:dyDescent="0.25">
      <c r="A14" s="109" t="s">
        <v>175</v>
      </c>
      <c r="B14" s="5" t="s">
        <v>168</v>
      </c>
      <c r="C14" s="127"/>
      <c r="D14" s="85"/>
      <c r="E14" s="36">
        <f>C14*D14</f>
        <v>0</v>
      </c>
      <c r="F14" s="246"/>
    </row>
    <row r="15" spans="1:7" x14ac:dyDescent="0.25">
      <c r="A15" s="109" t="s">
        <v>60</v>
      </c>
      <c r="B15" s="5" t="s">
        <v>112</v>
      </c>
      <c r="C15" s="127">
        <v>304.60000000000002</v>
      </c>
      <c r="D15" s="85">
        <v>434.76</v>
      </c>
      <c r="E15" s="36">
        <f>C15*D15</f>
        <v>132427.89600000001</v>
      </c>
      <c r="F15" s="246"/>
    </row>
    <row r="16" spans="1:7" ht="26.25" x14ac:dyDescent="0.25">
      <c r="A16" s="109" t="s">
        <v>169</v>
      </c>
      <c r="B16" s="5" t="s">
        <v>170</v>
      </c>
      <c r="C16" s="127"/>
      <c r="D16" s="85"/>
      <c r="E16" s="36"/>
      <c r="F16" s="246"/>
    </row>
    <row r="17" spans="1:6" ht="38.25" x14ac:dyDescent="0.25">
      <c r="A17" s="109" t="s">
        <v>176</v>
      </c>
      <c r="B17" s="5" t="s">
        <v>109</v>
      </c>
      <c r="C17" s="127">
        <v>3</v>
      </c>
      <c r="D17" s="85">
        <v>1100000</v>
      </c>
      <c r="E17" s="36">
        <f>C17*D17</f>
        <v>3300000</v>
      </c>
      <c r="F17" s="246"/>
    </row>
    <row r="18" spans="1:6" ht="38.25" x14ac:dyDescent="0.25">
      <c r="A18" s="109" t="s">
        <v>62</v>
      </c>
      <c r="B18" s="5" t="s">
        <v>113</v>
      </c>
      <c r="C18" s="127"/>
      <c r="D18" s="85"/>
      <c r="E18" s="36">
        <f>C18*D18</f>
        <v>0</v>
      </c>
      <c r="F18" s="246"/>
    </row>
    <row r="19" spans="1:6" ht="63.75" x14ac:dyDescent="0.25">
      <c r="A19" s="109" t="s">
        <v>63</v>
      </c>
      <c r="B19" s="5" t="s">
        <v>113</v>
      </c>
      <c r="C19" s="127">
        <v>1</v>
      </c>
      <c r="D19" s="85">
        <v>613742</v>
      </c>
      <c r="E19" s="36">
        <f>C19*D19</f>
        <v>613742</v>
      </c>
      <c r="F19" s="246"/>
    </row>
    <row r="20" spans="1:6" ht="76.5" x14ac:dyDescent="0.25">
      <c r="A20" s="109" t="s">
        <v>64</v>
      </c>
      <c r="B20" s="5" t="s">
        <v>114</v>
      </c>
      <c r="C20" s="127"/>
      <c r="D20" s="85"/>
      <c r="E20" s="36">
        <f>C20*D20</f>
        <v>0</v>
      </c>
      <c r="F20" s="247"/>
    </row>
    <row r="21" spans="1:6" x14ac:dyDescent="0.25">
      <c r="A21" s="23" t="s">
        <v>65</v>
      </c>
      <c r="B21" s="23"/>
      <c r="C21" s="21" t="s">
        <v>40</v>
      </c>
      <c r="D21" s="21" t="s">
        <v>40</v>
      </c>
      <c r="E21" s="35">
        <f>SUM(E11:E20)</f>
        <v>4902965.8959999997</v>
      </c>
      <c r="F21" s="127" t="s">
        <v>40</v>
      </c>
    </row>
    <row r="22" spans="1:6" ht="38.25" customHeight="1" x14ac:dyDescent="0.25">
      <c r="A22" s="279" t="s">
        <v>66</v>
      </c>
      <c r="B22" s="280"/>
      <c r="C22" s="280"/>
      <c r="D22" s="280"/>
      <c r="E22" s="280"/>
      <c r="F22" s="281"/>
    </row>
    <row r="23" spans="1:6" ht="25.5" x14ac:dyDescent="0.25">
      <c r="A23" s="15" t="s">
        <v>67</v>
      </c>
      <c r="B23" s="30" t="s">
        <v>115</v>
      </c>
      <c r="C23" s="127">
        <v>1</v>
      </c>
      <c r="D23" s="85">
        <f>77458+242267</f>
        <v>319725</v>
      </c>
      <c r="E23" s="36">
        <f>C23*D23</f>
        <v>319725</v>
      </c>
      <c r="F23" s="245" t="s">
        <v>204</v>
      </c>
    </row>
    <row r="24" spans="1:6" ht="38.25" x14ac:dyDescent="0.25">
      <c r="A24" s="15" t="s">
        <v>68</v>
      </c>
      <c r="B24" s="30" t="s">
        <v>115</v>
      </c>
      <c r="C24" s="127">
        <v>1</v>
      </c>
      <c r="D24" s="85">
        <v>107816</v>
      </c>
      <c r="E24" s="36">
        <f t="shared" ref="E24:E31" si="1">C24*D24</f>
        <v>107816</v>
      </c>
      <c r="F24" s="246"/>
    </row>
    <row r="25" spans="1:6" ht="38.25" x14ac:dyDescent="0.25">
      <c r="A25" s="15" t="s">
        <v>69</v>
      </c>
      <c r="B25" s="31" t="s">
        <v>116</v>
      </c>
      <c r="C25" s="127"/>
      <c r="D25" s="85"/>
      <c r="E25" s="36">
        <f t="shared" si="1"/>
        <v>0</v>
      </c>
      <c r="F25" s="246"/>
    </row>
    <row r="26" spans="1:6" ht="38.25" x14ac:dyDescent="0.25">
      <c r="A26" s="15" t="s">
        <v>70</v>
      </c>
      <c r="B26" s="31" t="s">
        <v>117</v>
      </c>
      <c r="C26" s="127"/>
      <c r="D26" s="85"/>
      <c r="E26" s="36">
        <f t="shared" si="1"/>
        <v>0</v>
      </c>
      <c r="F26" s="246"/>
    </row>
    <row r="27" spans="1:6" ht="38.25" x14ac:dyDescent="0.25">
      <c r="A27" s="15" t="s">
        <v>71</v>
      </c>
      <c r="B27" s="31" t="s">
        <v>117</v>
      </c>
      <c r="C27" s="127">
        <v>1</v>
      </c>
      <c r="D27" s="85">
        <v>423641</v>
      </c>
      <c r="E27" s="36">
        <f t="shared" si="1"/>
        <v>423641</v>
      </c>
      <c r="F27" s="246"/>
    </row>
    <row r="28" spans="1:6" ht="38.25" x14ac:dyDescent="0.25">
      <c r="A28" s="15" t="s">
        <v>72</v>
      </c>
      <c r="B28" s="31" t="s">
        <v>116</v>
      </c>
      <c r="C28" s="127">
        <v>1</v>
      </c>
      <c r="D28" s="85">
        <v>1231440</v>
      </c>
      <c r="E28" s="36">
        <f t="shared" si="1"/>
        <v>1231440</v>
      </c>
      <c r="F28" s="246"/>
    </row>
    <row r="29" spans="1:6" ht="38.25" x14ac:dyDescent="0.25">
      <c r="A29" s="15" t="s">
        <v>73</v>
      </c>
      <c r="B29" s="31" t="s">
        <v>118</v>
      </c>
      <c r="C29" s="127">
        <v>1</v>
      </c>
      <c r="D29" s="85">
        <v>69332</v>
      </c>
      <c r="E29" s="36">
        <f t="shared" si="1"/>
        <v>69332</v>
      </c>
      <c r="F29" s="246"/>
    </row>
    <row r="30" spans="1:6" ht="51" x14ac:dyDescent="0.25">
      <c r="A30" s="15" t="s">
        <v>74</v>
      </c>
      <c r="B30" s="31" t="s">
        <v>109</v>
      </c>
      <c r="C30" s="127"/>
      <c r="D30" s="85"/>
      <c r="E30" s="36">
        <f t="shared" si="1"/>
        <v>0</v>
      </c>
      <c r="F30" s="246"/>
    </row>
    <row r="31" spans="1:6" ht="38.25" x14ac:dyDescent="0.25">
      <c r="A31" s="15" t="s">
        <v>75</v>
      </c>
      <c r="B31" s="31" t="s">
        <v>109</v>
      </c>
      <c r="C31" s="127">
        <v>1</v>
      </c>
      <c r="D31" s="85">
        <v>109532</v>
      </c>
      <c r="E31" s="36">
        <f t="shared" si="1"/>
        <v>109532</v>
      </c>
      <c r="F31" s="247"/>
    </row>
    <row r="32" spans="1:6" x14ac:dyDescent="0.25">
      <c r="A32" s="22" t="s">
        <v>76</v>
      </c>
      <c r="B32" s="21" t="s">
        <v>40</v>
      </c>
      <c r="C32" s="21" t="s">
        <v>40</v>
      </c>
      <c r="D32" s="21" t="s">
        <v>40</v>
      </c>
      <c r="E32" s="35">
        <f>SUM(E23:E31)</f>
        <v>2261486</v>
      </c>
      <c r="F32" s="127" t="s">
        <v>40</v>
      </c>
    </row>
    <row r="33" spans="1:6" x14ac:dyDescent="0.25">
      <c r="A33" s="279" t="s">
        <v>77</v>
      </c>
      <c r="B33" s="280"/>
      <c r="C33" s="280"/>
      <c r="D33" s="280"/>
      <c r="E33" s="280"/>
      <c r="F33" s="281"/>
    </row>
    <row r="34" spans="1:6" ht="26.25" x14ac:dyDescent="0.25">
      <c r="A34" s="15" t="s">
        <v>78</v>
      </c>
      <c r="B34" s="31" t="s">
        <v>119</v>
      </c>
      <c r="C34" s="127">
        <v>19</v>
      </c>
      <c r="D34" s="85">
        <v>233</v>
      </c>
      <c r="E34" s="36">
        <f>C34*D34*12</f>
        <v>53124</v>
      </c>
      <c r="F34" s="245" t="s">
        <v>204</v>
      </c>
    </row>
    <row r="35" spans="1:6" ht="26.25" x14ac:dyDescent="0.25">
      <c r="A35" s="15" t="s">
        <v>79</v>
      </c>
      <c r="B35" s="31" t="s">
        <v>177</v>
      </c>
      <c r="C35" s="127">
        <v>1574</v>
      </c>
      <c r="D35" s="85">
        <v>4.3</v>
      </c>
      <c r="E35" s="36">
        <f>C35*D35*12</f>
        <v>81218.399999999994</v>
      </c>
      <c r="F35" s="246"/>
    </row>
    <row r="36" spans="1:6" ht="26.25" x14ac:dyDescent="0.25">
      <c r="A36" s="15" t="s">
        <v>80</v>
      </c>
      <c r="B36" s="31" t="s">
        <v>119</v>
      </c>
      <c r="C36" s="127">
        <v>6</v>
      </c>
      <c r="D36" s="85">
        <v>600</v>
      </c>
      <c r="E36" s="36">
        <f>C36*D36*12</f>
        <v>43200</v>
      </c>
      <c r="F36" s="246"/>
    </row>
    <row r="37" spans="1:6" ht="26.25" x14ac:dyDescent="0.25">
      <c r="A37" s="15" t="s">
        <v>81</v>
      </c>
      <c r="B37" s="31" t="s">
        <v>119</v>
      </c>
      <c r="C37" s="127">
        <v>1</v>
      </c>
      <c r="D37" s="85">
        <v>61191</v>
      </c>
      <c r="E37" s="36">
        <f>D37*C37</f>
        <v>61191</v>
      </c>
      <c r="F37" s="246"/>
    </row>
    <row r="38" spans="1:6" ht="26.25" x14ac:dyDescent="0.25">
      <c r="A38" s="15" t="s">
        <v>82</v>
      </c>
      <c r="B38" s="31" t="s">
        <v>120</v>
      </c>
      <c r="C38" s="127"/>
      <c r="D38" s="85"/>
      <c r="E38" s="36">
        <f>C38*D38*12</f>
        <v>0</v>
      </c>
      <c r="F38" s="246"/>
    </row>
    <row r="39" spans="1:6" ht="26.25" x14ac:dyDescent="0.25">
      <c r="A39" s="15" t="s">
        <v>83</v>
      </c>
      <c r="B39" s="31" t="s">
        <v>121</v>
      </c>
      <c r="C39" s="127"/>
      <c r="D39" s="85"/>
      <c r="E39" s="36">
        <v>0</v>
      </c>
      <c r="F39" s="247"/>
    </row>
    <row r="40" spans="1:6" x14ac:dyDescent="0.25">
      <c r="A40" s="22" t="s">
        <v>84</v>
      </c>
      <c r="B40" s="22"/>
      <c r="C40" s="21" t="s">
        <v>40</v>
      </c>
      <c r="D40" s="21" t="s">
        <v>40</v>
      </c>
      <c r="E40" s="35">
        <f>SUM(E34:E39)</f>
        <v>238733.4</v>
      </c>
      <c r="F40" s="127" t="s">
        <v>40</v>
      </c>
    </row>
    <row r="41" spans="1:6" x14ac:dyDescent="0.25">
      <c r="A41" s="15" t="s">
        <v>85</v>
      </c>
      <c r="B41" s="15"/>
      <c r="C41" s="127"/>
      <c r="D41" s="127"/>
      <c r="E41" s="37"/>
      <c r="F41" s="127"/>
    </row>
    <row r="42" spans="1:6" ht="25.5" x14ac:dyDescent="0.25">
      <c r="A42" s="15" t="s">
        <v>86</v>
      </c>
      <c r="B42" s="31" t="s">
        <v>122</v>
      </c>
      <c r="C42" s="127"/>
      <c r="D42" s="127"/>
      <c r="E42" s="36">
        <f>C42*D42</f>
        <v>0</v>
      </c>
      <c r="F42" s="245" t="s">
        <v>204</v>
      </c>
    </row>
    <row r="43" spans="1:6" ht="51.75" x14ac:dyDescent="0.25">
      <c r="A43" s="15" t="s">
        <v>87</v>
      </c>
      <c r="B43" s="31" t="s">
        <v>123</v>
      </c>
      <c r="C43" s="127"/>
      <c r="D43" s="127"/>
      <c r="E43" s="36">
        <f>C43*D43</f>
        <v>0</v>
      </c>
      <c r="F43" s="246"/>
    </row>
    <row r="44" spans="1:6" ht="38.25" x14ac:dyDescent="0.25">
      <c r="A44" s="15" t="s">
        <v>88</v>
      </c>
      <c r="B44" s="31" t="s">
        <v>124</v>
      </c>
      <c r="C44" s="127"/>
      <c r="D44" s="127"/>
      <c r="E44" s="36">
        <f>C44*D44</f>
        <v>0</v>
      </c>
      <c r="F44" s="246"/>
    </row>
    <row r="45" spans="1:6" ht="51.75" x14ac:dyDescent="0.25">
      <c r="A45" s="15" t="s">
        <v>89</v>
      </c>
      <c r="B45" s="31" t="s">
        <v>125</v>
      </c>
      <c r="C45" s="127"/>
      <c r="D45" s="127"/>
      <c r="E45" s="36">
        <f>C45*D45</f>
        <v>0</v>
      </c>
      <c r="F45" s="247"/>
    </row>
    <row r="46" spans="1:6" x14ac:dyDescent="0.25">
      <c r="A46" s="127"/>
      <c r="B46" s="127"/>
      <c r="C46" s="14"/>
      <c r="D46" s="14"/>
      <c r="E46" s="35"/>
      <c r="F46" s="127"/>
    </row>
    <row r="47" spans="1:6" x14ac:dyDescent="0.25">
      <c r="A47" s="22" t="s">
        <v>90</v>
      </c>
      <c r="B47" s="22"/>
      <c r="C47" s="21" t="s">
        <v>40</v>
      </c>
      <c r="D47" s="21" t="s">
        <v>40</v>
      </c>
      <c r="E47" s="35">
        <f>SUM(E42:E46)</f>
        <v>0</v>
      </c>
      <c r="F47" s="127" t="s">
        <v>40</v>
      </c>
    </row>
    <row r="48" spans="1:6" ht="38.25" customHeight="1" x14ac:dyDescent="0.25">
      <c r="A48" s="279" t="s">
        <v>91</v>
      </c>
      <c r="B48" s="280"/>
      <c r="C48" s="280"/>
      <c r="D48" s="280"/>
      <c r="E48" s="280"/>
      <c r="F48" s="281"/>
    </row>
    <row r="49" spans="1:6" ht="140.25" x14ac:dyDescent="0.25">
      <c r="A49" s="22" t="s">
        <v>92</v>
      </c>
      <c r="B49" s="22" t="s">
        <v>126</v>
      </c>
      <c r="C49" s="21">
        <f>0.4/0.6</f>
        <v>0.66666666666666674</v>
      </c>
      <c r="D49" s="24">
        <f>28463440.92+8595959</f>
        <v>37059399.920000002</v>
      </c>
      <c r="E49" s="35">
        <f>D49*C49</f>
        <v>24706266.613333337</v>
      </c>
      <c r="F49" s="109" t="s">
        <v>242</v>
      </c>
    </row>
    <row r="50" spans="1:6" x14ac:dyDescent="0.25">
      <c r="A50" s="15" t="s">
        <v>93</v>
      </c>
      <c r="B50" s="15"/>
      <c r="C50" s="127" t="s">
        <v>40</v>
      </c>
      <c r="D50" s="127" t="s">
        <v>40</v>
      </c>
      <c r="E50" s="38"/>
      <c r="F50" s="127" t="s">
        <v>40</v>
      </c>
    </row>
    <row r="51" spans="1:6" x14ac:dyDescent="0.25">
      <c r="A51" s="279" t="s">
        <v>94</v>
      </c>
      <c r="B51" s="280"/>
      <c r="C51" s="280"/>
      <c r="D51" s="280"/>
      <c r="E51" s="280"/>
      <c r="F51" s="281"/>
    </row>
    <row r="52" spans="1:6" x14ac:dyDescent="0.25">
      <c r="A52" s="14"/>
      <c r="B52" s="14"/>
      <c r="C52" s="14"/>
      <c r="D52" s="14"/>
      <c r="E52" s="35"/>
      <c r="F52" s="109"/>
    </row>
    <row r="53" spans="1:6" x14ac:dyDescent="0.25">
      <c r="A53" s="14"/>
      <c r="B53" s="14"/>
      <c r="C53" s="14"/>
      <c r="D53" s="14"/>
      <c r="E53" s="35"/>
      <c r="F53" s="109"/>
    </row>
    <row r="54" spans="1:6" x14ac:dyDescent="0.25">
      <c r="A54" s="14"/>
      <c r="B54" s="14"/>
      <c r="C54" s="14"/>
      <c r="D54" s="14"/>
      <c r="E54" s="35"/>
      <c r="F54" s="109"/>
    </row>
    <row r="55" spans="1:6" x14ac:dyDescent="0.25">
      <c r="A55" s="22" t="s">
        <v>95</v>
      </c>
      <c r="B55" s="22"/>
      <c r="C55" s="21" t="s">
        <v>40</v>
      </c>
      <c r="D55" s="21" t="s">
        <v>40</v>
      </c>
      <c r="E55" s="35"/>
      <c r="F55" s="127" t="s">
        <v>40</v>
      </c>
    </row>
    <row r="56" spans="1:6" x14ac:dyDescent="0.25">
      <c r="A56" s="14"/>
      <c r="B56" s="14"/>
      <c r="C56" s="14"/>
      <c r="D56" s="14"/>
      <c r="E56" s="38"/>
      <c r="F56" s="109"/>
    </row>
    <row r="57" spans="1:6" ht="25.5" customHeight="1" x14ac:dyDescent="0.25">
      <c r="A57" s="282" t="s">
        <v>96</v>
      </c>
      <c r="B57" s="283"/>
      <c r="C57" s="283"/>
      <c r="D57" s="284"/>
      <c r="E57" s="288">
        <f>E49+E47+E40+E32+E21+E9</f>
        <v>46426162.629333332</v>
      </c>
      <c r="F57" s="245" t="s">
        <v>40</v>
      </c>
    </row>
    <row r="58" spans="1:6" x14ac:dyDescent="0.25">
      <c r="A58" s="285" t="s">
        <v>97</v>
      </c>
      <c r="B58" s="286"/>
      <c r="C58" s="286"/>
      <c r="D58" s="287"/>
      <c r="E58" s="289"/>
      <c r="F58" s="247"/>
    </row>
  </sheetData>
  <mergeCells count="15">
    <mergeCell ref="A3:F3"/>
    <mergeCell ref="A10:F10"/>
    <mergeCell ref="A22:F22"/>
    <mergeCell ref="A33:F33"/>
    <mergeCell ref="A48:F48"/>
    <mergeCell ref="F4:F8"/>
    <mergeCell ref="F11:F20"/>
    <mergeCell ref="F23:F31"/>
    <mergeCell ref="F34:F39"/>
    <mergeCell ref="F42:F45"/>
    <mergeCell ref="A51:F51"/>
    <mergeCell ref="A57:D57"/>
    <mergeCell ref="A58:D58"/>
    <mergeCell ref="E57:E58"/>
    <mergeCell ref="F57:F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3" sqref="B3"/>
    </sheetView>
  </sheetViews>
  <sheetFormatPr defaultRowHeight="15" x14ac:dyDescent="0.25"/>
  <cols>
    <col min="1" max="1" width="21" customWidth="1"/>
    <col min="2" max="2" width="32.42578125" customWidth="1"/>
    <col min="3" max="3" width="21.7109375" customWidth="1"/>
    <col min="4" max="4" width="30.42578125" customWidth="1"/>
    <col min="5" max="5" width="25.85546875" customWidth="1"/>
    <col min="6" max="6" width="23.7109375" customWidth="1"/>
    <col min="7" max="7" width="47.5703125" customWidth="1"/>
  </cols>
  <sheetData>
    <row r="1" spans="1:7" ht="153" x14ac:dyDescent="0.25">
      <c r="A1" s="128" t="s">
        <v>139</v>
      </c>
      <c r="B1" s="128" t="s">
        <v>248</v>
      </c>
      <c r="C1" s="128" t="s">
        <v>247</v>
      </c>
      <c r="D1" s="128" t="s">
        <v>249</v>
      </c>
      <c r="E1" s="128" t="s">
        <v>250</v>
      </c>
      <c r="F1" s="128" t="s">
        <v>251</v>
      </c>
      <c r="G1" s="128" t="s">
        <v>140</v>
      </c>
    </row>
    <row r="2" spans="1:7" x14ac:dyDescent="0.25">
      <c r="A2" s="128">
        <v>1</v>
      </c>
      <c r="B2" s="128">
        <v>2</v>
      </c>
      <c r="C2" s="128">
        <v>3</v>
      </c>
      <c r="D2" s="128">
        <v>4</v>
      </c>
      <c r="E2" s="128" t="s">
        <v>237</v>
      </c>
      <c r="F2" s="128">
        <v>6</v>
      </c>
      <c r="G2" s="128">
        <v>7</v>
      </c>
    </row>
    <row r="3" spans="1:7" ht="26.25" customHeight="1" x14ac:dyDescent="0.25">
      <c r="A3" s="5" t="s">
        <v>18</v>
      </c>
      <c r="B3" s="86">
        <f>1971/832*'ПРЯМЫЕ ЗАТРАТЫ'!D5</f>
        <v>9.4759615384615383</v>
      </c>
      <c r="C3" s="86">
        <f>'ПРЯМЫЕ ЗАТРАТЫ'!H7*B3</f>
        <v>544600.14335999999</v>
      </c>
      <c r="D3" s="86">
        <f>'Плановые затраты ОХН'!$D$49/C3</f>
        <v>68.048825127654112</v>
      </c>
      <c r="E3" s="225">
        <f>B3*D3</f>
        <v>644.82804964714546</v>
      </c>
      <c r="F3" s="17">
        <f>3436*E3</f>
        <v>2215629.1785875917</v>
      </c>
      <c r="G3" s="290" t="s">
        <v>205</v>
      </c>
    </row>
    <row r="4" spans="1:7" ht="33.75" customHeight="1" x14ac:dyDescent="0.25">
      <c r="A4" s="5" t="s">
        <v>19</v>
      </c>
      <c r="B4" s="86">
        <f>1971/728*'ПРЯМЫЕ ЗАТРАТЫ'!K5</f>
        <v>16.244505494505496</v>
      </c>
      <c r="C4" s="86">
        <f>'ПРЯМЫЕ ЗАТРАТЫ'!O7*B4</f>
        <v>567873.65376000002</v>
      </c>
      <c r="D4" s="86">
        <f>'Плановые затраты ОХН'!$D$49/C4</f>
        <v>65.259938851930585</v>
      </c>
      <c r="E4" s="225">
        <f>B4*D4</f>
        <v>1060.115435251279</v>
      </c>
      <c r="F4" s="17">
        <f>3436*E4</f>
        <v>3642556.6355233947</v>
      </c>
      <c r="G4" s="290"/>
    </row>
    <row r="5" spans="1:7" ht="39" x14ac:dyDescent="0.25">
      <c r="A5" s="5" t="s">
        <v>20</v>
      </c>
      <c r="B5" s="86">
        <f>1971/624*'ПРЯМЫЕ ЗАТРАТЫ'!R5</f>
        <v>31.586538461538463</v>
      </c>
      <c r="C5" s="86">
        <f>'ПРЯМЫЕ ЗАТРАТЫ'!V7*B5</f>
        <v>465470.20800000004</v>
      </c>
      <c r="D5" s="86">
        <f>'Плановые затраты ОХН'!$D$49/C5</f>
        <v>79.617125399355302</v>
      </c>
      <c r="E5" s="225">
        <f>B5*D5</f>
        <v>2514.829393623867</v>
      </c>
      <c r="F5" s="17">
        <f>3436*E5</f>
        <v>8640953.7964916062</v>
      </c>
      <c r="G5" s="290"/>
    </row>
    <row r="6" spans="1:7" ht="26.25" x14ac:dyDescent="0.25">
      <c r="A6" s="5" t="s">
        <v>21</v>
      </c>
      <c r="B6" s="86">
        <f>1971/364*'ПРЯМЫЕ ЗАТРАТЫ'!Y5</f>
        <v>75.807692307692307</v>
      </c>
      <c r="C6" s="86">
        <f>'ПРЯМЫЕ ЗАТРАТЫ'!AC7*B6</f>
        <v>465470.20799999998</v>
      </c>
      <c r="D6" s="86">
        <f>'Плановые затраты ОХН'!$D$49/C6</f>
        <v>79.617125399355317</v>
      </c>
      <c r="E6" s="225">
        <f>B6*D6</f>
        <v>6035.590544697282</v>
      </c>
      <c r="F6" s="17">
        <f>3436*E6</f>
        <v>20738289.111579861</v>
      </c>
      <c r="G6" s="290"/>
    </row>
    <row r="7" spans="1:7" ht="26.25" hidden="1" x14ac:dyDescent="0.25">
      <c r="A7" s="5" t="s">
        <v>22</v>
      </c>
      <c r="B7" s="86">
        <f>1971/'ОХН РАСЧЕТ'!AB7*'Оплата труда'!Q3</f>
        <v>88.442307692307693</v>
      </c>
      <c r="C7" s="86">
        <f>'ПРЯМЫЕ ЗАТРАТЫ'!AH7*B7</f>
        <v>465470.2</v>
      </c>
      <c r="D7" s="86">
        <f>'Плановые затраты ОХН'!$E$49/C7</f>
        <v>53.078084511819092</v>
      </c>
      <c r="E7" s="225">
        <f>B7*D7</f>
        <v>4694.3482821126154</v>
      </c>
      <c r="F7" s="17">
        <f>3436*E7</f>
        <v>16129780.697338946</v>
      </c>
      <c r="G7" s="290"/>
    </row>
    <row r="8" spans="1:7" x14ac:dyDescent="0.25">
      <c r="A8" s="47"/>
      <c r="B8" s="47"/>
      <c r="C8" s="47"/>
      <c r="D8" s="47"/>
      <c r="E8" s="47"/>
      <c r="F8" s="226"/>
      <c r="G8" s="47"/>
    </row>
  </sheetData>
  <mergeCells count="1">
    <mergeCell ref="G3: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workbookViewId="0">
      <pane xSplit="1" topLeftCell="B1" activePane="topRight" state="frozen"/>
      <selection pane="topRight" activeCell="G7" sqref="G7:G12"/>
    </sheetView>
  </sheetViews>
  <sheetFormatPr defaultRowHeight="15" x14ac:dyDescent="0.25"/>
  <cols>
    <col min="1" max="1" width="33" customWidth="1"/>
    <col min="2" max="6" width="15.28515625" customWidth="1"/>
    <col min="7" max="7" width="35.42578125" customWidth="1"/>
    <col min="8" max="12" width="15.28515625" customWidth="1"/>
    <col min="13" max="13" width="34" customWidth="1"/>
    <col min="14" max="18" width="15.28515625" customWidth="1"/>
    <col min="19" max="19" width="34" customWidth="1"/>
    <col min="20" max="24" width="15.28515625" customWidth="1"/>
    <col min="25" max="25" width="34" customWidth="1"/>
    <col min="26" max="30" width="15.28515625" hidden="1" customWidth="1"/>
    <col min="31" max="31" width="34" hidden="1" customWidth="1"/>
  </cols>
  <sheetData>
    <row r="1" spans="1:31" s="134" customFormat="1" x14ac:dyDescent="0.25">
      <c r="B1" s="301" t="s">
        <v>18</v>
      </c>
      <c r="C1" s="302"/>
      <c r="D1" s="302"/>
      <c r="E1" s="302"/>
      <c r="F1" s="302"/>
      <c r="G1" s="303"/>
      <c r="H1" s="301" t="s">
        <v>19</v>
      </c>
      <c r="I1" s="302"/>
      <c r="J1" s="302"/>
      <c r="K1" s="302"/>
      <c r="L1" s="302"/>
      <c r="M1" s="303"/>
      <c r="N1" s="301" t="s">
        <v>20</v>
      </c>
      <c r="O1" s="302"/>
      <c r="P1" s="302"/>
      <c r="Q1" s="302"/>
      <c r="R1" s="302"/>
      <c r="S1" s="303"/>
      <c r="T1" s="301" t="s">
        <v>21</v>
      </c>
      <c r="U1" s="302"/>
      <c r="V1" s="302"/>
      <c r="W1" s="302"/>
      <c r="X1" s="302"/>
      <c r="Y1" s="303"/>
      <c r="Z1" s="301" t="s">
        <v>22</v>
      </c>
      <c r="AA1" s="302"/>
      <c r="AB1" s="302"/>
      <c r="AC1" s="302"/>
      <c r="AD1" s="302"/>
      <c r="AE1" s="303"/>
    </row>
    <row r="2" spans="1:31" ht="110.25" customHeight="1" x14ac:dyDescent="0.25">
      <c r="A2" s="295" t="s">
        <v>25</v>
      </c>
      <c r="B2" s="296" t="s">
        <v>47</v>
      </c>
      <c r="C2" s="299" t="s">
        <v>133</v>
      </c>
      <c r="D2" s="299" t="s">
        <v>238</v>
      </c>
      <c r="E2" s="300" t="s">
        <v>135</v>
      </c>
      <c r="F2" s="299" t="s">
        <v>240</v>
      </c>
      <c r="G2" s="294" t="s">
        <v>136</v>
      </c>
      <c r="H2" s="296" t="s">
        <v>47</v>
      </c>
      <c r="I2" s="299" t="s">
        <v>133</v>
      </c>
      <c r="J2" s="299" t="s">
        <v>238</v>
      </c>
      <c r="K2" s="300" t="s">
        <v>135</v>
      </c>
      <c r="L2" s="299" t="s">
        <v>240</v>
      </c>
      <c r="M2" s="294" t="s">
        <v>136</v>
      </c>
      <c r="N2" s="296" t="s">
        <v>47</v>
      </c>
      <c r="O2" s="299" t="s">
        <v>133</v>
      </c>
      <c r="P2" s="299" t="s">
        <v>238</v>
      </c>
      <c r="Q2" s="300" t="s">
        <v>135</v>
      </c>
      <c r="R2" s="299" t="s">
        <v>240</v>
      </c>
      <c r="S2" s="294" t="s">
        <v>136</v>
      </c>
      <c r="T2" s="296" t="s">
        <v>47</v>
      </c>
      <c r="U2" s="299" t="s">
        <v>133</v>
      </c>
      <c r="V2" s="299" t="s">
        <v>238</v>
      </c>
      <c r="W2" s="300" t="s">
        <v>135</v>
      </c>
      <c r="X2" s="299" t="s">
        <v>240</v>
      </c>
      <c r="Y2" s="294" t="s">
        <v>136</v>
      </c>
      <c r="Z2" s="296" t="s">
        <v>47</v>
      </c>
      <c r="AA2" s="299" t="s">
        <v>133</v>
      </c>
      <c r="AB2" s="299" t="s">
        <v>134</v>
      </c>
      <c r="AC2" s="300" t="s">
        <v>135</v>
      </c>
      <c r="AD2" s="299" t="s">
        <v>98</v>
      </c>
      <c r="AE2" s="294" t="s">
        <v>136</v>
      </c>
    </row>
    <row r="3" spans="1:31" x14ac:dyDescent="0.25">
      <c r="A3" s="295"/>
      <c r="B3" s="297"/>
      <c r="C3" s="299"/>
      <c r="D3" s="299"/>
      <c r="E3" s="300"/>
      <c r="F3" s="299"/>
      <c r="G3" s="294"/>
      <c r="H3" s="297"/>
      <c r="I3" s="299"/>
      <c r="J3" s="299"/>
      <c r="K3" s="300"/>
      <c r="L3" s="299"/>
      <c r="M3" s="294"/>
      <c r="N3" s="297"/>
      <c r="O3" s="299"/>
      <c r="P3" s="299"/>
      <c r="Q3" s="300"/>
      <c r="R3" s="299"/>
      <c r="S3" s="294"/>
      <c r="T3" s="297"/>
      <c r="U3" s="299"/>
      <c r="V3" s="299"/>
      <c r="W3" s="300"/>
      <c r="X3" s="299"/>
      <c r="Y3" s="294"/>
      <c r="Z3" s="297"/>
      <c r="AA3" s="299"/>
      <c r="AB3" s="299"/>
      <c r="AC3" s="300"/>
      <c r="AD3" s="299"/>
      <c r="AE3" s="294"/>
    </row>
    <row r="4" spans="1:31" x14ac:dyDescent="0.25">
      <c r="A4" s="295"/>
      <c r="B4" s="297"/>
      <c r="C4" s="299"/>
      <c r="D4" s="299"/>
      <c r="E4" s="300"/>
      <c r="F4" s="299"/>
      <c r="G4" s="294"/>
      <c r="H4" s="297"/>
      <c r="I4" s="299"/>
      <c r="J4" s="299"/>
      <c r="K4" s="300"/>
      <c r="L4" s="299"/>
      <c r="M4" s="294"/>
      <c r="N4" s="297"/>
      <c r="O4" s="299"/>
      <c r="P4" s="299"/>
      <c r="Q4" s="300"/>
      <c r="R4" s="299"/>
      <c r="S4" s="294"/>
      <c r="T4" s="297"/>
      <c r="U4" s="299"/>
      <c r="V4" s="299"/>
      <c r="W4" s="300"/>
      <c r="X4" s="299"/>
      <c r="Y4" s="294"/>
      <c r="Z4" s="297"/>
      <c r="AA4" s="299"/>
      <c r="AB4" s="299"/>
      <c r="AC4" s="300"/>
      <c r="AD4" s="299"/>
      <c r="AE4" s="294"/>
    </row>
    <row r="5" spans="1:31" x14ac:dyDescent="0.25">
      <c r="A5" s="295"/>
      <c r="B5" s="298"/>
      <c r="C5" s="299"/>
      <c r="D5" s="299"/>
      <c r="E5" s="300"/>
      <c r="F5" s="299"/>
      <c r="G5" s="294"/>
      <c r="H5" s="298"/>
      <c r="I5" s="299"/>
      <c r="J5" s="299"/>
      <c r="K5" s="300"/>
      <c r="L5" s="299"/>
      <c r="M5" s="294"/>
      <c r="N5" s="298"/>
      <c r="O5" s="299"/>
      <c r="P5" s="299"/>
      <c r="Q5" s="300"/>
      <c r="R5" s="299"/>
      <c r="S5" s="294"/>
      <c r="T5" s="298"/>
      <c r="U5" s="299"/>
      <c r="V5" s="299"/>
      <c r="W5" s="300"/>
      <c r="X5" s="299"/>
      <c r="Y5" s="294"/>
      <c r="Z5" s="298"/>
      <c r="AA5" s="299"/>
      <c r="AB5" s="299"/>
      <c r="AC5" s="300"/>
      <c r="AD5" s="299"/>
      <c r="AE5" s="294"/>
    </row>
    <row r="6" spans="1:31" x14ac:dyDescent="0.25">
      <c r="A6" s="49">
        <v>1</v>
      </c>
      <c r="B6" s="52">
        <v>2</v>
      </c>
      <c r="C6" s="82">
        <v>3</v>
      </c>
      <c r="D6" s="82">
        <v>4</v>
      </c>
      <c r="E6" s="82" t="s">
        <v>99</v>
      </c>
      <c r="F6" s="82" t="s">
        <v>239</v>
      </c>
      <c r="G6" s="53">
        <v>7</v>
      </c>
      <c r="H6" s="52">
        <v>2</v>
      </c>
      <c r="I6" s="82">
        <v>3</v>
      </c>
      <c r="J6" s="82">
        <v>4</v>
      </c>
      <c r="K6" s="82" t="s">
        <v>99</v>
      </c>
      <c r="L6" s="129" t="s">
        <v>239</v>
      </c>
      <c r="M6" s="53">
        <v>7</v>
      </c>
      <c r="N6" s="52">
        <v>2</v>
      </c>
      <c r="O6" s="82">
        <v>3</v>
      </c>
      <c r="P6" s="82">
        <v>4</v>
      </c>
      <c r="Q6" s="82" t="s">
        <v>99</v>
      </c>
      <c r="R6" s="129" t="s">
        <v>239</v>
      </c>
      <c r="S6" s="53">
        <v>7</v>
      </c>
      <c r="T6" s="52">
        <v>2</v>
      </c>
      <c r="U6" s="82">
        <v>3</v>
      </c>
      <c r="V6" s="82">
        <v>4</v>
      </c>
      <c r="W6" s="82" t="s">
        <v>99</v>
      </c>
      <c r="X6" s="129" t="s">
        <v>239</v>
      </c>
      <c r="Y6" s="53">
        <v>7</v>
      </c>
      <c r="Z6" s="52">
        <v>2</v>
      </c>
      <c r="AA6" s="82">
        <v>3</v>
      </c>
      <c r="AB6" s="82">
        <v>4</v>
      </c>
      <c r="AC6" s="82" t="s">
        <v>99</v>
      </c>
      <c r="AD6" s="82" t="s">
        <v>100</v>
      </c>
      <c r="AE6" s="53">
        <v>7</v>
      </c>
    </row>
    <row r="7" spans="1:31" ht="32.25" customHeight="1" x14ac:dyDescent="0.25">
      <c r="A7" s="50" t="s">
        <v>49</v>
      </c>
      <c r="B7" s="54">
        <f>'Плановые затраты ОХН'!$E9</f>
        <v>14316710.720000001</v>
      </c>
      <c r="C7" s="17">
        <f>'Общее полезное время'!$F$3</f>
        <v>2215629.1785875917</v>
      </c>
      <c r="D7" s="16">
        <v>832</v>
      </c>
      <c r="E7" s="16">
        <f>B7/C7</f>
        <v>6.4616908182832953</v>
      </c>
      <c r="F7" s="42">
        <f>D7*E7</f>
        <v>5376.1267608117014</v>
      </c>
      <c r="G7" s="291" t="s">
        <v>243</v>
      </c>
      <c r="H7" s="54">
        <f>'Плановые затраты ОХН'!$E9</f>
        <v>14316710.720000001</v>
      </c>
      <c r="I7" s="17">
        <f>'Общее полезное время'!$F$4</f>
        <v>3642556.6355233947</v>
      </c>
      <c r="J7" s="16">
        <v>728</v>
      </c>
      <c r="K7" s="16">
        <f>H7/I7</f>
        <v>3.9304016800669044</v>
      </c>
      <c r="L7" s="42">
        <f>J7*K7</f>
        <v>2861.3324230887065</v>
      </c>
      <c r="M7" s="291" t="s">
        <v>244</v>
      </c>
      <c r="N7" s="54">
        <f>'Плановые затраты ОХН'!$E9</f>
        <v>14316710.720000001</v>
      </c>
      <c r="O7" s="17">
        <f>'Общее полезное время'!$F$5</f>
        <v>8640953.7964916062</v>
      </c>
      <c r="P7" s="16">
        <v>624</v>
      </c>
      <c r="Q7" s="16">
        <f>N7/O7</f>
        <v>1.6568437995598195</v>
      </c>
      <c r="R7" s="42">
        <f>P7*Q7</f>
        <v>1033.8705309253273</v>
      </c>
      <c r="S7" s="291" t="s">
        <v>245</v>
      </c>
      <c r="T7" s="54">
        <f>'Плановые затраты ОХН'!$E9</f>
        <v>14316710.720000001</v>
      </c>
      <c r="U7" s="17">
        <f>'Общее полезное время'!$F$6</f>
        <v>20738289.111579861</v>
      </c>
      <c r="V7" s="16">
        <v>364</v>
      </c>
      <c r="W7" s="16">
        <f>T7/U7</f>
        <v>0.69035158314992462</v>
      </c>
      <c r="X7" s="42">
        <f>V7*W7</f>
        <v>251.28797626657257</v>
      </c>
      <c r="Y7" s="291" t="s">
        <v>246</v>
      </c>
      <c r="Z7" s="54">
        <f>'Плановые затраты ОХН'!$E9</f>
        <v>14316710.720000001</v>
      </c>
      <c r="AA7" s="17">
        <f>'Общее полезное время'!$F$7</f>
        <v>16129780.697338946</v>
      </c>
      <c r="AB7" s="16">
        <f>'Оплата труда'!P$3*1971</f>
        <v>312</v>
      </c>
      <c r="AC7" s="16">
        <f>Z7/AA7</f>
        <v>0.88759487736630782</v>
      </c>
      <c r="AD7" s="42">
        <f>AB7*AC7</f>
        <v>276.92960173828806</v>
      </c>
      <c r="AE7" s="304" t="s">
        <v>141</v>
      </c>
    </row>
    <row r="8" spans="1:31" ht="78" customHeight="1" x14ac:dyDescent="0.25">
      <c r="A8" s="50" t="s">
        <v>57</v>
      </c>
      <c r="B8" s="54">
        <f>'Плановые затраты ОХН'!$E21</f>
        <v>4902965.8959999997</v>
      </c>
      <c r="C8" s="17">
        <f>'Общее полезное время'!$F$3</f>
        <v>2215629.1785875917</v>
      </c>
      <c r="D8" s="16">
        <v>832</v>
      </c>
      <c r="E8" s="16">
        <f>B8/C8</f>
        <v>2.2129000391326845</v>
      </c>
      <c r="F8" s="42">
        <f>D8*E8</f>
        <v>1841.1328325583936</v>
      </c>
      <c r="G8" s="292"/>
      <c r="H8" s="54">
        <f>'Плановые затраты ОХН'!$E21</f>
        <v>4902965.8959999997</v>
      </c>
      <c r="I8" s="17">
        <f>'Общее полезное время'!$F$4</f>
        <v>3642556.6355233947</v>
      </c>
      <c r="J8" s="16">
        <v>728</v>
      </c>
      <c r="K8" s="16">
        <f>H8/I8</f>
        <v>1.3460232431761485</v>
      </c>
      <c r="L8" s="42">
        <f>J8*K8</f>
        <v>979.90492103223608</v>
      </c>
      <c r="M8" s="292"/>
      <c r="N8" s="54">
        <f>'Плановые затраты ОХН'!$E21</f>
        <v>4902965.8959999997</v>
      </c>
      <c r="O8" s="17">
        <f>'Общее полезное время'!$F$5</f>
        <v>8640953.7964916062</v>
      </c>
      <c r="P8" s="16">
        <v>624</v>
      </c>
      <c r="Q8" s="16">
        <f>N8/O8</f>
        <v>0.56741026644427828</v>
      </c>
      <c r="R8" s="42">
        <f>P8*Q8</f>
        <v>354.06400626122962</v>
      </c>
      <c r="S8" s="292"/>
      <c r="T8" s="54">
        <f>'Плановые затраты ОХН'!$E21</f>
        <v>4902965.8959999997</v>
      </c>
      <c r="U8" s="17">
        <f>'Общее полезное время'!$F$6</f>
        <v>20738289.111579861</v>
      </c>
      <c r="V8" s="16">
        <v>364</v>
      </c>
      <c r="W8" s="16">
        <f>T8/U8</f>
        <v>0.23642094435178251</v>
      </c>
      <c r="X8" s="42">
        <f>V8*W8</f>
        <v>86.057223744048841</v>
      </c>
      <c r="Y8" s="292"/>
      <c r="Z8" s="54">
        <f>'Плановые затраты ОХН'!$E21</f>
        <v>4902965.8959999997</v>
      </c>
      <c r="AA8" s="17">
        <f>'Общее полезное время'!$F$7</f>
        <v>16129780.697338946</v>
      </c>
      <c r="AB8" s="16">
        <f>'Оплата труда'!P$3*1971</f>
        <v>312</v>
      </c>
      <c r="AC8" s="16">
        <f>Z8/AA8</f>
        <v>0.3039697803708441</v>
      </c>
      <c r="AD8" s="42">
        <f>AB8*AC8</f>
        <v>94.838571475703361</v>
      </c>
      <c r="AE8" s="305"/>
    </row>
    <row r="9" spans="1:31" ht="48" x14ac:dyDescent="0.25">
      <c r="A9" s="50" t="s">
        <v>66</v>
      </c>
      <c r="B9" s="54">
        <f>'Плановые затраты ОХН'!$E32</f>
        <v>2261486</v>
      </c>
      <c r="C9" s="17">
        <f>'Общее полезное время'!$F$3</f>
        <v>2215629.1785875917</v>
      </c>
      <c r="D9" s="16">
        <v>832</v>
      </c>
      <c r="E9" s="16">
        <f>B9/C9</f>
        <v>1.0206969748618497</v>
      </c>
      <c r="F9" s="42">
        <f>D9*E9</f>
        <v>849.219883085059</v>
      </c>
      <c r="G9" s="292"/>
      <c r="H9" s="54">
        <f>'Плановые затраты ОХН'!$E32</f>
        <v>2261486</v>
      </c>
      <c r="I9" s="17">
        <f>'Общее полезное время'!$F$4</f>
        <v>3642556.6355233947</v>
      </c>
      <c r="J9" s="16">
        <v>728</v>
      </c>
      <c r="K9" s="16">
        <f>H9/I9</f>
        <v>0.62085129382622484</v>
      </c>
      <c r="L9" s="42">
        <f>J9*K9</f>
        <v>451.97974190549166</v>
      </c>
      <c r="M9" s="292"/>
      <c r="N9" s="54">
        <f>'Плановые затраты ОХН'!$E32</f>
        <v>2261486</v>
      </c>
      <c r="O9" s="17">
        <f>'Общее полезное время'!$F$5</f>
        <v>8640953.7964916062</v>
      </c>
      <c r="P9" s="16">
        <v>624</v>
      </c>
      <c r="Q9" s="16">
        <f>N9/O9</f>
        <v>0.2617171730415</v>
      </c>
      <c r="R9" s="42">
        <f>P9*Q9</f>
        <v>163.31151597789599</v>
      </c>
      <c r="S9" s="292"/>
      <c r="T9" s="54">
        <f>'Плановые затраты ОХН'!$E32</f>
        <v>2261486</v>
      </c>
      <c r="U9" s="17">
        <f>'Общее полезное время'!$F$6</f>
        <v>20738289.111579861</v>
      </c>
      <c r="V9" s="16">
        <v>364</v>
      </c>
      <c r="W9" s="16">
        <f>T9/U9</f>
        <v>0.10904882210062496</v>
      </c>
      <c r="X9" s="42">
        <f>V9*W9</f>
        <v>39.693771244627484</v>
      </c>
      <c r="Y9" s="292"/>
      <c r="Z9" s="54">
        <f>'Плановые затраты ОХН'!$E32</f>
        <v>2261486</v>
      </c>
      <c r="AA9" s="17">
        <f>'Общее полезное время'!$F$7</f>
        <v>16129780.697338946</v>
      </c>
      <c r="AB9" s="16">
        <f>'Оплата труда'!P$3*1971</f>
        <v>312</v>
      </c>
      <c r="AC9" s="16">
        <f>Z9/AA9</f>
        <v>0.14020562600538611</v>
      </c>
      <c r="AD9" s="42">
        <f>AB9*AC9</f>
        <v>43.744155313680466</v>
      </c>
      <c r="AE9" s="305"/>
    </row>
    <row r="10" spans="1:31" x14ac:dyDescent="0.25">
      <c r="A10" s="50" t="s">
        <v>77</v>
      </c>
      <c r="B10" s="54">
        <f>'Плановые затраты ОХН'!$E40</f>
        <v>238733.4</v>
      </c>
      <c r="C10" s="17">
        <f>'Общее полезное время'!$F$3</f>
        <v>2215629.1785875917</v>
      </c>
      <c r="D10" s="16">
        <v>832</v>
      </c>
      <c r="E10" s="16">
        <f>B10/C10</f>
        <v>0.10774970934088644</v>
      </c>
      <c r="F10" s="42">
        <f>D10*E10</f>
        <v>89.647758171617525</v>
      </c>
      <c r="G10" s="292"/>
      <c r="H10" s="54">
        <f>'Плановые затраты ОХН'!$E40</f>
        <v>238733.4</v>
      </c>
      <c r="I10" s="17">
        <f>'Общее полезное время'!$F$4</f>
        <v>3642556.6355233947</v>
      </c>
      <c r="J10" s="16">
        <v>728</v>
      </c>
      <c r="K10" s="16">
        <f>H10/I10</f>
        <v>6.5540065368316969E-2</v>
      </c>
      <c r="L10" s="42">
        <f>J10*K10</f>
        <v>47.713167588134752</v>
      </c>
      <c r="M10" s="292"/>
      <c r="N10" s="54">
        <f>'Плановые затраты ОХН'!$E40</f>
        <v>238733.4</v>
      </c>
      <c r="O10" s="17">
        <f>'Общее полезное время'!$F$5</f>
        <v>8640953.7964916062</v>
      </c>
      <c r="P10" s="16">
        <v>624</v>
      </c>
      <c r="Q10" s="16">
        <f>N10/O10</f>
        <v>2.7628130600227299E-2</v>
      </c>
      <c r="R10" s="42">
        <f>P10*Q10</f>
        <v>17.239953494541833</v>
      </c>
      <c r="S10" s="292"/>
      <c r="T10" s="54">
        <f>'Плановые затраты ОХН'!$E40</f>
        <v>238733.4</v>
      </c>
      <c r="U10" s="17">
        <f>'Общее полезное время'!$F$6</f>
        <v>20738289.111579861</v>
      </c>
      <c r="V10" s="16">
        <v>364</v>
      </c>
      <c r="W10" s="16">
        <f>T10/U10</f>
        <v>1.1511721083428038E-2</v>
      </c>
      <c r="X10" s="42">
        <f>V10*W10</f>
        <v>4.1902664743678057</v>
      </c>
      <c r="Y10" s="292"/>
      <c r="Z10" s="54">
        <f>'Плановые затраты ОХН'!$E40</f>
        <v>238733.4</v>
      </c>
      <c r="AA10" s="17">
        <f>'Общее полезное время'!$F$7</f>
        <v>16129780.697338946</v>
      </c>
      <c r="AB10" s="16">
        <f>'Оплата труда'!P$3*1971</f>
        <v>312</v>
      </c>
      <c r="AC10" s="16">
        <f>Z10/AA10</f>
        <v>1.4800783995741845E-2</v>
      </c>
      <c r="AD10" s="42">
        <f>AB10*AC10</f>
        <v>4.6178446066714551</v>
      </c>
      <c r="AE10" s="305"/>
    </row>
    <row r="11" spans="1:31" x14ac:dyDescent="0.25">
      <c r="A11" s="50" t="s">
        <v>85</v>
      </c>
      <c r="B11" s="54">
        <f>'Плановые затраты ОХН'!$E47</f>
        <v>0</v>
      </c>
      <c r="C11" s="17">
        <f>'Общее полезное время'!$F$3</f>
        <v>2215629.1785875917</v>
      </c>
      <c r="D11" s="16">
        <v>832</v>
      </c>
      <c r="E11" s="16">
        <f>B11/C11</f>
        <v>0</v>
      </c>
      <c r="F11" s="42">
        <f>D11*E11</f>
        <v>0</v>
      </c>
      <c r="G11" s="292"/>
      <c r="H11" s="54">
        <f>'Плановые затраты ОХН'!$E47</f>
        <v>0</v>
      </c>
      <c r="I11" s="17">
        <f>'Общее полезное время'!$F$4</f>
        <v>3642556.6355233947</v>
      </c>
      <c r="J11" s="16">
        <v>728</v>
      </c>
      <c r="K11" s="16">
        <f>H11/I11</f>
        <v>0</v>
      </c>
      <c r="L11" s="42">
        <f>J11*K11</f>
        <v>0</v>
      </c>
      <c r="M11" s="292"/>
      <c r="N11" s="54">
        <f>'Плановые затраты ОХН'!$E47</f>
        <v>0</v>
      </c>
      <c r="O11" s="17">
        <f>'Общее полезное время'!$F$5</f>
        <v>8640953.7964916062</v>
      </c>
      <c r="P11" s="16">
        <v>624</v>
      </c>
      <c r="Q11" s="16">
        <f>N11/O11</f>
        <v>0</v>
      </c>
      <c r="R11" s="42">
        <f>P11*Q11</f>
        <v>0</v>
      </c>
      <c r="S11" s="292"/>
      <c r="T11" s="54">
        <f>'Плановые затраты ОХН'!$E47</f>
        <v>0</v>
      </c>
      <c r="U11" s="17">
        <f>'Общее полезное время'!$F$6</f>
        <v>20738289.111579861</v>
      </c>
      <c r="V11" s="16">
        <v>364</v>
      </c>
      <c r="W11" s="16">
        <f>T11/U11</f>
        <v>0</v>
      </c>
      <c r="X11" s="42">
        <f>V11*W11</f>
        <v>0</v>
      </c>
      <c r="Y11" s="292"/>
      <c r="Z11" s="54">
        <f>'Плановые затраты ОХН'!$E47</f>
        <v>0</v>
      </c>
      <c r="AA11" s="17">
        <f>'Общее полезное время'!$F$7</f>
        <v>16129780.697338946</v>
      </c>
      <c r="AB11" s="16">
        <f>'Оплата труда'!P$3*1971</f>
        <v>312</v>
      </c>
      <c r="AC11" s="16">
        <f>Z11/AA11</f>
        <v>0</v>
      </c>
      <c r="AD11" s="42">
        <f>AB11*AC11</f>
        <v>0</v>
      </c>
      <c r="AE11" s="305"/>
    </row>
    <row r="12" spans="1:31" ht="48" x14ac:dyDescent="0.25">
      <c r="A12" s="50" t="s">
        <v>91</v>
      </c>
      <c r="B12" s="54">
        <f>'Плановые затраты ОХН'!$E49</f>
        <v>24706266.613333337</v>
      </c>
      <c r="C12" s="16" t="s">
        <v>39</v>
      </c>
      <c r="D12" s="16" t="s">
        <v>39</v>
      </c>
      <c r="E12" s="16" t="s">
        <v>39</v>
      </c>
      <c r="F12" s="42">
        <f>'ПРЯМЫЕ ЗАТРАТЫ'!H7*40/60</f>
        <v>38314.503574794522</v>
      </c>
      <c r="G12" s="293"/>
      <c r="H12" s="54">
        <f>'Плановые затраты ОХН'!$E49</f>
        <v>24706266.613333337</v>
      </c>
      <c r="I12" s="16" t="s">
        <v>39</v>
      </c>
      <c r="J12" s="16" t="s">
        <v>39</v>
      </c>
      <c r="K12" s="16" t="s">
        <v>39</v>
      </c>
      <c r="L12" s="42">
        <f>'ПРЯМЫЕ ЗАТРАТЫ'!O7*40/60</f>
        <v>23305.260721420596</v>
      </c>
      <c r="M12" s="293"/>
      <c r="N12" s="54">
        <f>'Плановые затраты ОХН'!$E49</f>
        <v>24706266.613333337</v>
      </c>
      <c r="O12" s="16" t="s">
        <v>39</v>
      </c>
      <c r="P12" s="16" t="s">
        <v>39</v>
      </c>
      <c r="Q12" s="16" t="s">
        <v>39</v>
      </c>
      <c r="R12" s="42">
        <f>'ПРЯМЫЕ ЗАТРАТЫ'!V7*40/60</f>
        <v>9824.2316858447502</v>
      </c>
      <c r="S12" s="293"/>
      <c r="T12" s="54">
        <f>'Плановые затраты ОХН'!$E49</f>
        <v>24706266.613333337</v>
      </c>
      <c r="U12" s="16" t="s">
        <v>39</v>
      </c>
      <c r="V12" s="16" t="s">
        <v>39</v>
      </c>
      <c r="W12" s="16" t="s">
        <v>39</v>
      </c>
      <c r="X12" s="42">
        <f>'ПРЯМЫЕ ЗАТРАТЫ'!AC7*40/60</f>
        <v>4093.429869101979</v>
      </c>
      <c r="Y12" s="293"/>
      <c r="Z12" s="54">
        <f>'Плановые затраты ОХН'!$E49</f>
        <v>24706266.613333337</v>
      </c>
      <c r="AA12" s="16" t="s">
        <v>39</v>
      </c>
      <c r="AB12" s="16" t="s">
        <v>39</v>
      </c>
      <c r="AC12" s="16" t="s">
        <v>39</v>
      </c>
      <c r="AD12" s="42">
        <f>'ПРЯМЫЕ ЗАТРАТЫ'!AH7*40/60</f>
        <v>3508.6541132130174</v>
      </c>
      <c r="AE12" s="306"/>
    </row>
    <row r="13" spans="1:31" x14ac:dyDescent="0.25">
      <c r="A13" s="50" t="s">
        <v>94</v>
      </c>
      <c r="B13" s="55" t="s">
        <v>39</v>
      </c>
      <c r="C13" s="16" t="s">
        <v>39</v>
      </c>
      <c r="D13" s="16" t="s">
        <v>39</v>
      </c>
      <c r="E13" s="16" t="s">
        <v>39</v>
      </c>
      <c r="F13" s="41" t="s">
        <v>39</v>
      </c>
      <c r="G13" s="56"/>
      <c r="H13" s="55" t="s">
        <v>39</v>
      </c>
      <c r="I13" s="16" t="s">
        <v>39</v>
      </c>
      <c r="J13" s="16" t="s">
        <v>39</v>
      </c>
      <c r="K13" s="16" t="s">
        <v>39</v>
      </c>
      <c r="L13" s="41" t="s">
        <v>39</v>
      </c>
      <c r="M13" s="56"/>
      <c r="N13" s="55" t="s">
        <v>39</v>
      </c>
      <c r="O13" s="16" t="s">
        <v>39</v>
      </c>
      <c r="P13" s="16" t="s">
        <v>39</v>
      </c>
      <c r="Q13" s="16" t="s">
        <v>39</v>
      </c>
      <c r="R13" s="41" t="s">
        <v>39</v>
      </c>
      <c r="S13" s="56"/>
      <c r="T13" s="55" t="s">
        <v>39</v>
      </c>
      <c r="U13" s="16" t="s">
        <v>39</v>
      </c>
      <c r="V13" s="16" t="s">
        <v>39</v>
      </c>
      <c r="W13" s="16" t="s">
        <v>39</v>
      </c>
      <c r="X13" s="41" t="s">
        <v>39</v>
      </c>
      <c r="Y13" s="56"/>
      <c r="Z13" s="55" t="s">
        <v>39</v>
      </c>
      <c r="AA13" s="16" t="s">
        <v>39</v>
      </c>
      <c r="AB13" s="16" t="s">
        <v>39</v>
      </c>
      <c r="AC13" s="16" t="s">
        <v>39</v>
      </c>
      <c r="AD13" s="41" t="s">
        <v>39</v>
      </c>
      <c r="AE13" s="56"/>
    </row>
    <row r="14" spans="1:31" ht="15.75" thickBot="1" x14ac:dyDescent="0.3">
      <c r="A14" s="51" t="s">
        <v>101</v>
      </c>
      <c r="B14" s="57" t="s">
        <v>40</v>
      </c>
      <c r="C14" s="58" t="s">
        <v>40</v>
      </c>
      <c r="D14" s="58" t="s">
        <v>40</v>
      </c>
      <c r="E14" s="60">
        <f>SUM(E7:E13)</f>
        <v>9.8030375416187159</v>
      </c>
      <c r="F14" s="60">
        <f>SUM(F7:F12)</f>
        <v>46470.630809421295</v>
      </c>
      <c r="G14" s="59" t="s">
        <v>40</v>
      </c>
      <c r="H14" s="57" t="s">
        <v>40</v>
      </c>
      <c r="I14" s="58" t="s">
        <v>40</v>
      </c>
      <c r="J14" s="58" t="s">
        <v>40</v>
      </c>
      <c r="K14" s="60">
        <f>SUM(K7:K13)</f>
        <v>5.9628162824375952</v>
      </c>
      <c r="L14" s="60">
        <f>SUM(L7:L12)</f>
        <v>27646.190975035166</v>
      </c>
      <c r="M14" s="59" t="s">
        <v>40</v>
      </c>
      <c r="N14" s="57" t="s">
        <v>40</v>
      </c>
      <c r="O14" s="58" t="s">
        <v>40</v>
      </c>
      <c r="P14" s="58" t="s">
        <v>40</v>
      </c>
      <c r="Q14" s="60">
        <f>SUM(Q7:Q13)</f>
        <v>2.5135993696458252</v>
      </c>
      <c r="R14" s="60">
        <f>SUM(R7:R12)</f>
        <v>11392.717692503746</v>
      </c>
      <c r="S14" s="59" t="s">
        <v>40</v>
      </c>
      <c r="T14" s="57" t="s">
        <v>40</v>
      </c>
      <c r="U14" s="58" t="s">
        <v>40</v>
      </c>
      <c r="V14" s="58" t="s">
        <v>40</v>
      </c>
      <c r="W14" s="60">
        <f>SUM(W7:W13)</f>
        <v>1.0473330706857602</v>
      </c>
      <c r="X14" s="60">
        <f>SUM(X7:X12)</f>
        <v>4474.6591068315956</v>
      </c>
      <c r="Y14" s="59" t="s">
        <v>40</v>
      </c>
      <c r="Z14" s="57" t="s">
        <v>40</v>
      </c>
      <c r="AA14" s="58" t="s">
        <v>40</v>
      </c>
      <c r="AB14" s="58" t="s">
        <v>40</v>
      </c>
      <c r="AC14" s="60">
        <f>SUM(AC7:AC13)</f>
        <v>1.3465710677382798</v>
      </c>
      <c r="AD14" s="60">
        <f>SUM(AD7:AD12)</f>
        <v>3928.7842863473606</v>
      </c>
      <c r="AE14" s="59" t="s">
        <v>40</v>
      </c>
    </row>
    <row r="25" spans="2:7" x14ac:dyDescent="0.25">
      <c r="F25" s="72"/>
    </row>
    <row r="26" spans="2:7" x14ac:dyDescent="0.25">
      <c r="B26" s="72"/>
    </row>
    <row r="27" spans="2:7" x14ac:dyDescent="0.25">
      <c r="B27" s="72"/>
    </row>
    <row r="32" spans="2:7" x14ac:dyDescent="0.25">
      <c r="G32" s="227"/>
    </row>
  </sheetData>
  <mergeCells count="41">
    <mergeCell ref="Y7:Y12"/>
    <mergeCell ref="Z1:AE1"/>
    <mergeCell ref="Z2:Z5"/>
    <mergeCell ref="AA2:AA5"/>
    <mergeCell ref="AB2:AB5"/>
    <mergeCell ref="AC2:AC5"/>
    <mergeCell ref="AD2:AD5"/>
    <mergeCell ref="AE2:AE5"/>
    <mergeCell ref="AE7:AE12"/>
    <mergeCell ref="H1:M1"/>
    <mergeCell ref="B1:G1"/>
    <mergeCell ref="N1:S1"/>
    <mergeCell ref="T1:Y1"/>
    <mergeCell ref="S2:S5"/>
    <mergeCell ref="T2:T5"/>
    <mergeCell ref="U2:U5"/>
    <mergeCell ref="V2:V5"/>
    <mergeCell ref="W2:W5"/>
    <mergeCell ref="X2:X5"/>
    <mergeCell ref="Y2:Y5"/>
    <mergeCell ref="D2:D5"/>
    <mergeCell ref="S7:S12"/>
    <mergeCell ref="N2:N5"/>
    <mergeCell ref="O2:O5"/>
    <mergeCell ref="P2:P5"/>
    <mergeCell ref="Q2:Q5"/>
    <mergeCell ref="R2:R5"/>
    <mergeCell ref="M7:M12"/>
    <mergeCell ref="M2:M5"/>
    <mergeCell ref="A2:A5"/>
    <mergeCell ref="H2:H5"/>
    <mergeCell ref="I2:I5"/>
    <mergeCell ref="K2:K5"/>
    <mergeCell ref="L2:L5"/>
    <mergeCell ref="C2:C5"/>
    <mergeCell ref="J2:J5"/>
    <mergeCell ref="E2:E5"/>
    <mergeCell ref="F2:F5"/>
    <mergeCell ref="G7:G12"/>
    <mergeCell ref="B2:B5"/>
    <mergeCell ref="G2:G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workbookViewId="0">
      <selection activeCell="M4" sqref="M4"/>
    </sheetView>
  </sheetViews>
  <sheetFormatPr defaultRowHeight="15" x14ac:dyDescent="0.25"/>
  <cols>
    <col min="1" max="1" width="19.7109375" customWidth="1"/>
    <col min="2" max="2" width="22.85546875" customWidth="1"/>
    <col min="3" max="3" width="21.5703125" customWidth="1"/>
    <col min="4" max="4" width="10.28515625" customWidth="1"/>
    <col min="5" max="5" width="12.28515625" customWidth="1"/>
    <col min="6" max="6" width="13.5703125" customWidth="1"/>
    <col min="11" max="11" width="10" bestFit="1" customWidth="1"/>
    <col min="13" max="13" width="25.140625" customWidth="1"/>
  </cols>
  <sheetData>
    <row r="1" spans="1:13" ht="26.25" customHeight="1" x14ac:dyDescent="0.25">
      <c r="A1" s="290" t="s">
        <v>6</v>
      </c>
      <c r="B1" s="290" t="s">
        <v>17</v>
      </c>
      <c r="C1" s="290" t="s">
        <v>233</v>
      </c>
      <c r="D1" s="290"/>
      <c r="E1" s="290"/>
      <c r="F1" s="290" t="s">
        <v>234</v>
      </c>
      <c r="G1" s="290"/>
      <c r="H1" s="290"/>
      <c r="I1" s="290"/>
      <c r="J1" s="290"/>
      <c r="K1" s="290"/>
      <c r="L1" s="290"/>
      <c r="M1" s="290" t="s">
        <v>235</v>
      </c>
    </row>
    <row r="2" spans="1:13" x14ac:dyDescent="0.25">
      <c r="A2" s="290"/>
      <c r="B2" s="290"/>
      <c r="C2" s="128" t="s">
        <v>7</v>
      </c>
      <c r="D2" s="128" t="s">
        <v>8</v>
      </c>
      <c r="E2" s="128" t="s">
        <v>9</v>
      </c>
      <c r="F2" s="128" t="s">
        <v>10</v>
      </c>
      <c r="G2" s="128" t="s">
        <v>11</v>
      </c>
      <c r="H2" s="128" t="s">
        <v>12</v>
      </c>
      <c r="I2" s="128" t="s">
        <v>13</v>
      </c>
      <c r="J2" s="128" t="s">
        <v>14</v>
      </c>
      <c r="K2" s="128" t="s">
        <v>15</v>
      </c>
      <c r="L2" s="128" t="s">
        <v>16</v>
      </c>
      <c r="M2" s="290"/>
    </row>
    <row r="3" spans="1:13" x14ac:dyDescent="0.25">
      <c r="A3" s="4">
        <v>1</v>
      </c>
      <c r="B3" s="4"/>
      <c r="C3" s="4">
        <v>2</v>
      </c>
      <c r="D3" s="4">
        <v>3</v>
      </c>
      <c r="E3" s="4">
        <v>4</v>
      </c>
      <c r="F3" s="4">
        <v>5</v>
      </c>
      <c r="G3" s="4">
        <v>6</v>
      </c>
      <c r="H3" s="4">
        <v>7</v>
      </c>
      <c r="I3" s="4">
        <v>8</v>
      </c>
      <c r="J3" s="4">
        <v>9</v>
      </c>
      <c r="K3" s="4">
        <v>10</v>
      </c>
      <c r="L3" s="4">
        <v>11</v>
      </c>
      <c r="M3" s="4" t="s">
        <v>166</v>
      </c>
    </row>
    <row r="4" spans="1:13" ht="73.5" customHeight="1" x14ac:dyDescent="0.25">
      <c r="A4" s="307" t="s">
        <v>241</v>
      </c>
      <c r="B4" s="5" t="s">
        <v>18</v>
      </c>
      <c r="C4" s="40">
        <f>'ПРЯМЫЕ ЗАТРАТЫ'!H7</f>
        <v>57471.755362191783</v>
      </c>
      <c r="D4" s="40">
        <f>'ПРЯМЫЕ ЗАТРАТЫ'!H41</f>
        <v>117101</v>
      </c>
      <c r="E4" s="40">
        <f>'ПРЯМЫЕ ЗАТРАТЫ'!H49</f>
        <v>376600</v>
      </c>
      <c r="F4" s="40">
        <f>'ОХН РАСЧЕТ'!F7</f>
        <v>5376.1267608117014</v>
      </c>
      <c r="G4" s="40">
        <f>'ОХН РАСЧЕТ'!F8</f>
        <v>1841.1328325583936</v>
      </c>
      <c r="H4" s="40">
        <f>'ОХН РАСЧЕТ'!F9</f>
        <v>849.219883085059</v>
      </c>
      <c r="I4" s="40">
        <f>'ОХН РАСЧЕТ'!F10</f>
        <v>89.647758171617525</v>
      </c>
      <c r="J4" s="40">
        <f>'ОХН РАСЧЕТ'!F11</f>
        <v>0</v>
      </c>
      <c r="K4" s="40">
        <f>'ОХН РАСЧЕТ'!F12</f>
        <v>38314.503574794522</v>
      </c>
      <c r="L4" s="40" t="str">
        <f>'ОХН РАСЧЕТ'!F13</f>
        <v>-</v>
      </c>
      <c r="M4" s="100">
        <f>SUM(C4:L4)</f>
        <v>597643.38617161312</v>
      </c>
    </row>
    <row r="5" spans="1:13" ht="64.5" customHeight="1" x14ac:dyDescent="0.25">
      <c r="A5" s="307"/>
      <c r="B5" s="5" t="s">
        <v>19</v>
      </c>
      <c r="C5" s="40">
        <f>'ПРЯМЫЕ ЗАТРАТЫ'!O7</f>
        <v>34957.891082130896</v>
      </c>
      <c r="D5" s="40">
        <f>'ПРЯМЫЕ ЗАТРАТЫ'!O41</f>
        <v>89740</v>
      </c>
      <c r="E5" s="40">
        <f>'ПРЯМЫЕ ЗАТРАТЫ'!O49</f>
        <v>540550</v>
      </c>
      <c r="F5" s="40">
        <f>'ОХН РАСЧЕТ'!L7</f>
        <v>2861.3324230887065</v>
      </c>
      <c r="G5" s="40">
        <f>'ОХН РАСЧЕТ'!L8</f>
        <v>979.90492103223608</v>
      </c>
      <c r="H5" s="40">
        <f>'ОХН РАСЧЕТ'!L9</f>
        <v>451.97974190549166</v>
      </c>
      <c r="I5" s="40">
        <f>'ОХН РАСЧЕТ'!L10</f>
        <v>47.713167588134752</v>
      </c>
      <c r="J5" s="40">
        <f>'ОХН РАСЧЕТ'!L11</f>
        <v>0</v>
      </c>
      <c r="K5" s="40">
        <f>'ОХН РАСЧЕТ'!L12</f>
        <v>23305.260721420596</v>
      </c>
      <c r="L5" s="40" t="str">
        <f>'ОХН РАСЧЕТ'!L13</f>
        <v>-</v>
      </c>
      <c r="M5" s="100">
        <f>SUM(C5:L5)</f>
        <v>692894.08205716603</v>
      </c>
    </row>
    <row r="6" spans="1:13" ht="64.5" customHeight="1" x14ac:dyDescent="0.25">
      <c r="A6" s="307"/>
      <c r="B6" s="5" t="s">
        <v>20</v>
      </c>
      <c r="C6" s="40">
        <f>'ПРЯМЫЕ ЗАТРАТЫ'!V7</f>
        <v>14736.347528767124</v>
      </c>
      <c r="D6" s="40">
        <f>'ПРЯМЫЕ ЗАТРАТЫ'!V41</f>
        <v>79057.8</v>
      </c>
      <c r="E6" s="40">
        <f>'ПРЯМЫЕ ЗАТРАТЫ'!V49</f>
        <v>629200</v>
      </c>
      <c r="F6" s="40">
        <f>'ОХН РАСЧЕТ'!R7</f>
        <v>1033.8705309253273</v>
      </c>
      <c r="G6" s="40">
        <f>'ОХН РАСЧЕТ'!R8</f>
        <v>354.06400626122962</v>
      </c>
      <c r="H6" s="40">
        <f>'ОХН РАСЧЕТ'!R9</f>
        <v>163.31151597789599</v>
      </c>
      <c r="I6" s="40">
        <f>'ОХН РАСЧЕТ'!R10</f>
        <v>17.239953494541833</v>
      </c>
      <c r="J6" s="40">
        <f>'ОХН РАСЧЕТ'!R11</f>
        <v>0</v>
      </c>
      <c r="K6" s="40">
        <f>'ОХН РАСЧЕТ'!R12</f>
        <v>9824.2316858447502</v>
      </c>
      <c r="L6" s="40" t="str">
        <f>'ОХН РАСЧЕТ'!R13</f>
        <v>-</v>
      </c>
      <c r="M6" s="100">
        <f>SUM(C6:L6)</f>
        <v>734386.86522127071</v>
      </c>
    </row>
    <row r="7" spans="1:13" ht="51.75" customHeight="1" x14ac:dyDescent="0.25">
      <c r="A7" s="307"/>
      <c r="B7" s="5" t="s">
        <v>21</v>
      </c>
      <c r="C7" s="40">
        <f>'ПРЯМЫЕ ЗАТРАТЫ'!AC7</f>
        <v>6140.1448036529682</v>
      </c>
      <c r="D7" s="40">
        <f>'ПРЯМЫЕ ЗАТРАТЫ'!AC41</f>
        <v>19064.857142857141</v>
      </c>
      <c r="E7" s="40">
        <f>'ПРЯМЫЕ ЗАТРАТЫ'!AC49</f>
        <v>129900</v>
      </c>
      <c r="F7" s="40">
        <f>'ОХН РАСЧЕТ'!X7</f>
        <v>251.28797626657257</v>
      </c>
      <c r="G7" s="40">
        <f>'ОХН РАСЧЕТ'!X8</f>
        <v>86.057223744048841</v>
      </c>
      <c r="H7" s="40">
        <f>'ОХН РАСЧЕТ'!X9</f>
        <v>39.693771244627484</v>
      </c>
      <c r="I7" s="40">
        <f>'ОХН РАСЧЕТ'!X10</f>
        <v>4.1902664743678057</v>
      </c>
      <c r="J7" s="40">
        <f>'ОХН РАСЧЕТ'!X11</f>
        <v>0</v>
      </c>
      <c r="K7" s="40">
        <f>'ОХН РАСЧЕТ'!X12</f>
        <v>4093.429869101979</v>
      </c>
      <c r="L7" s="40" t="str">
        <f>'ОХН РАСЧЕТ'!X13</f>
        <v>-</v>
      </c>
      <c r="M7" s="100">
        <f>SUM(C7:L7)</f>
        <v>159579.6610533417</v>
      </c>
    </row>
    <row r="8" spans="1:13" ht="51.75" hidden="1" customHeight="1" x14ac:dyDescent="0.25">
      <c r="A8" s="307"/>
      <c r="B8" s="5" t="s">
        <v>22</v>
      </c>
      <c r="C8" s="40">
        <f>'ПРЯМЫЕ ЗАТРАТЫ'!AH7</f>
        <v>5262.9811698195263</v>
      </c>
      <c r="D8" s="40">
        <f>'ПРЯМЫЕ ЗАТРАТЫ'!AH41</f>
        <v>7314.8571428571422</v>
      </c>
      <c r="E8" s="40">
        <f>'ПРЯМЫЕ ЗАТРАТЫ'!AH49</f>
        <v>0</v>
      </c>
      <c r="F8" s="40">
        <f>'ОХН РАСЧЕТ'!AD7</f>
        <v>276.92960173828806</v>
      </c>
      <c r="G8" s="40">
        <f>'ОХН РАСЧЕТ'!AD8</f>
        <v>94.838571475703361</v>
      </c>
      <c r="H8" s="40">
        <f>'ОХН РАСЧЕТ'!AD9</f>
        <v>43.744155313680466</v>
      </c>
      <c r="I8" s="40">
        <f>'ОХН РАСЧЕТ'!AD10</f>
        <v>4.6178446066714551</v>
      </c>
      <c r="J8" s="40">
        <f>'ОХН РАСЧЕТ'!AD11</f>
        <v>0</v>
      </c>
      <c r="K8" s="40">
        <f>C8*40/60</f>
        <v>3508.6541132130174</v>
      </c>
      <c r="L8" s="40" t="str">
        <f>'ОХН РАСЧЕТ'!AD13</f>
        <v>-</v>
      </c>
      <c r="M8" s="100">
        <f>SUM(C8:L8)</f>
        <v>16506.622599024027</v>
      </c>
    </row>
    <row r="9" spans="1:13" x14ac:dyDescent="0.25">
      <c r="A9" s="47"/>
      <c r="B9" s="47"/>
      <c r="C9" s="47"/>
      <c r="D9" s="47"/>
      <c r="E9" s="47"/>
      <c r="F9" s="47"/>
      <c r="G9" s="47"/>
      <c r="H9" s="47"/>
      <c r="I9" s="47"/>
      <c r="J9" s="47"/>
      <c r="K9" s="47"/>
      <c r="L9" s="47"/>
      <c r="M9" s="47"/>
    </row>
    <row r="11" spans="1:13" x14ac:dyDescent="0.25">
      <c r="C11" s="72"/>
    </row>
    <row r="12" spans="1:13" x14ac:dyDescent="0.25">
      <c r="C12" s="72"/>
    </row>
  </sheetData>
  <mergeCells count="6">
    <mergeCell ref="M1:M2"/>
    <mergeCell ref="A4:A8"/>
    <mergeCell ref="A1:A2"/>
    <mergeCell ref="C1:E1"/>
    <mergeCell ref="F1:L1"/>
    <mergeCell ref="B1:B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zoomScaleNormal="100" workbookViewId="0">
      <pane xSplit="2" ySplit="4" topLeftCell="C71" activePane="bottomRight" state="frozen"/>
      <selection pane="topRight" activeCell="C1" sqref="C1"/>
      <selection pane="bottomLeft" activeCell="A5" sqref="A5"/>
      <selection pane="bottomRight" activeCell="A78" sqref="A78"/>
    </sheetView>
  </sheetViews>
  <sheetFormatPr defaultRowHeight="12.75" x14ac:dyDescent="0.25"/>
  <cols>
    <col min="1" max="1" width="38.85546875" style="126" customWidth="1"/>
    <col min="2" max="2" width="14.28515625" style="126" customWidth="1"/>
    <col min="3" max="3" width="14.28515625" style="118" customWidth="1"/>
    <col min="4" max="4" width="27.140625" style="126" customWidth="1"/>
    <col min="5" max="5" width="14.28515625" style="126" customWidth="1"/>
    <col min="6" max="6" width="14.28515625" style="125" customWidth="1"/>
    <col min="7" max="7" width="27.140625" style="126" customWidth="1"/>
    <col min="8" max="9" width="14.28515625" style="126" customWidth="1"/>
    <col min="10" max="10" width="27.140625" style="126" customWidth="1"/>
    <col min="11" max="12" width="14.28515625" style="126" customWidth="1"/>
    <col min="13" max="13" width="27.140625" style="126" customWidth="1"/>
    <col min="14" max="15" width="18.85546875" style="126" hidden="1" customWidth="1"/>
    <col min="16" max="16" width="37" style="126" hidden="1" customWidth="1"/>
    <col min="17" max="16384" width="9.140625" style="118"/>
  </cols>
  <sheetData>
    <row r="1" spans="1:16" x14ac:dyDescent="0.25">
      <c r="A1" s="96"/>
      <c r="B1" s="311" t="s">
        <v>142</v>
      </c>
      <c r="C1" s="311"/>
      <c r="D1" s="311"/>
      <c r="E1" s="308" t="s">
        <v>19</v>
      </c>
      <c r="F1" s="308"/>
      <c r="G1" s="308"/>
      <c r="H1" s="308" t="s">
        <v>20</v>
      </c>
      <c r="I1" s="308"/>
      <c r="J1" s="308"/>
      <c r="K1" s="308" t="s">
        <v>21</v>
      </c>
      <c r="L1" s="308"/>
      <c r="M1" s="308"/>
      <c r="N1" s="308" t="s">
        <v>22</v>
      </c>
      <c r="O1" s="308"/>
      <c r="P1" s="308"/>
    </row>
    <row r="2" spans="1:16" s="119" customFormat="1" ht="114.75" customHeight="1" x14ac:dyDescent="0.25">
      <c r="A2" s="87" t="s">
        <v>25</v>
      </c>
      <c r="B2" s="87" t="s">
        <v>143</v>
      </c>
      <c r="C2" s="87" t="s">
        <v>144</v>
      </c>
      <c r="D2" s="87" t="s">
        <v>140</v>
      </c>
      <c r="E2" s="87" t="s">
        <v>143</v>
      </c>
      <c r="F2" s="87" t="s">
        <v>144</v>
      </c>
      <c r="G2" s="87" t="s">
        <v>140</v>
      </c>
      <c r="H2" s="87" t="s">
        <v>143</v>
      </c>
      <c r="I2" s="87" t="s">
        <v>144</v>
      </c>
      <c r="J2" s="87" t="s">
        <v>140</v>
      </c>
      <c r="K2" s="87" t="s">
        <v>143</v>
      </c>
      <c r="L2" s="87" t="s">
        <v>144</v>
      </c>
      <c r="M2" s="87" t="s">
        <v>140</v>
      </c>
      <c r="N2" s="87" t="s">
        <v>143</v>
      </c>
      <c r="O2" s="87" t="s">
        <v>144</v>
      </c>
      <c r="P2" s="87" t="s">
        <v>140</v>
      </c>
    </row>
    <row r="3" spans="1:16" ht="15.75" customHeight="1" x14ac:dyDescent="0.25">
      <c r="A3" s="310" t="s">
        <v>145</v>
      </c>
      <c r="B3" s="310"/>
      <c r="C3" s="310"/>
      <c r="D3" s="310"/>
      <c r="E3" s="96"/>
      <c r="F3" s="120"/>
      <c r="G3" s="96"/>
      <c r="H3" s="96"/>
      <c r="I3" s="96"/>
      <c r="J3" s="96"/>
      <c r="K3" s="96"/>
      <c r="L3" s="96"/>
      <c r="M3" s="96"/>
      <c r="N3" s="96"/>
      <c r="O3" s="96"/>
      <c r="P3" s="96"/>
    </row>
    <row r="4" spans="1:16" ht="15.75" customHeight="1" x14ac:dyDescent="0.25">
      <c r="A4" s="309" t="s">
        <v>146</v>
      </c>
      <c r="B4" s="309"/>
      <c r="C4" s="309"/>
      <c r="D4" s="309"/>
      <c r="E4" s="96"/>
      <c r="F4" s="120"/>
      <c r="G4" s="96"/>
      <c r="H4" s="96"/>
      <c r="I4" s="96"/>
      <c r="J4" s="96"/>
      <c r="K4" s="96"/>
      <c r="L4" s="96"/>
      <c r="M4" s="96"/>
      <c r="N4" s="96"/>
      <c r="O4" s="96"/>
      <c r="P4" s="96"/>
    </row>
    <row r="5" spans="1:16" ht="25.5" customHeight="1" x14ac:dyDescent="0.25">
      <c r="A5" s="88" t="s">
        <v>23</v>
      </c>
      <c r="B5" s="88" t="s">
        <v>147</v>
      </c>
      <c r="C5" s="89">
        <f>'Оплата труда'!C3*1971</f>
        <v>208</v>
      </c>
      <c r="D5" s="312" t="s">
        <v>206</v>
      </c>
      <c r="E5" s="88" t="s">
        <v>147</v>
      </c>
      <c r="F5" s="91">
        <f>'Оплата труда'!F3*1971</f>
        <v>121.33333333333333</v>
      </c>
      <c r="G5" s="312" t="s">
        <v>206</v>
      </c>
      <c r="H5" s="88" t="s">
        <v>147</v>
      </c>
      <c r="I5" s="88">
        <f>'Оплата труда'!I3*1971</f>
        <v>62.4</v>
      </c>
      <c r="J5" s="312" t="s">
        <v>206</v>
      </c>
      <c r="K5" s="88" t="s">
        <v>147</v>
      </c>
      <c r="L5" s="88">
        <f>'Оплата труда'!L3*1971</f>
        <v>26</v>
      </c>
      <c r="M5" s="312" t="s">
        <v>206</v>
      </c>
      <c r="N5" s="88" t="s">
        <v>147</v>
      </c>
      <c r="O5" s="88">
        <f>'Оплата труда'!O3*1971</f>
        <v>22.285714285714285</v>
      </c>
      <c r="P5" s="90"/>
    </row>
    <row r="6" spans="1:16" ht="25.5" x14ac:dyDescent="0.25">
      <c r="A6" s="92" t="s">
        <v>24</v>
      </c>
      <c r="B6" s="88" t="s">
        <v>147</v>
      </c>
      <c r="C6" s="89">
        <f>'Оплата труда'!C4*1971</f>
        <v>35.36</v>
      </c>
      <c r="D6" s="313"/>
      <c r="E6" s="88" t="s">
        <v>147</v>
      </c>
      <c r="F6" s="91">
        <f>'Оплата труда'!F4*1971</f>
        <v>26.693333333333332</v>
      </c>
      <c r="G6" s="313"/>
      <c r="H6" s="88" t="s">
        <v>147</v>
      </c>
      <c r="I6" s="88">
        <v>0</v>
      </c>
      <c r="J6" s="313"/>
      <c r="K6" s="88" t="s">
        <v>147</v>
      </c>
      <c r="L6" s="88">
        <v>0</v>
      </c>
      <c r="M6" s="313"/>
      <c r="N6" s="88" t="s">
        <v>147</v>
      </c>
      <c r="O6" s="88">
        <v>0</v>
      </c>
      <c r="P6" s="90"/>
    </row>
    <row r="7" spans="1:16" ht="26.25" customHeight="1" x14ac:dyDescent="0.25">
      <c r="A7" s="309" t="s">
        <v>148</v>
      </c>
      <c r="B7" s="309"/>
      <c r="C7" s="309"/>
      <c r="D7" s="309"/>
      <c r="E7" s="96"/>
      <c r="F7" s="120"/>
      <c r="G7" s="96"/>
      <c r="H7" s="96"/>
      <c r="I7" s="96"/>
      <c r="J7" s="96"/>
      <c r="K7" s="96"/>
      <c r="L7" s="96"/>
      <c r="M7" s="96"/>
      <c r="N7" s="96"/>
      <c r="O7" s="96"/>
      <c r="P7" s="96"/>
    </row>
    <row r="8" spans="1:16" x14ac:dyDescent="0.25">
      <c r="A8" s="93" t="str">
        <f>'Материальные запасы'!A6</f>
        <v xml:space="preserve">Ворота для хоккея                         </v>
      </c>
      <c r="B8" s="93" t="s">
        <v>149</v>
      </c>
      <c r="C8" s="93">
        <f>'Материальные запасы'!B6/'ПРЯМЫЕ ЗАТРАТЫ'!F13</f>
        <v>0.05</v>
      </c>
      <c r="D8" s="312" t="s">
        <v>207</v>
      </c>
      <c r="E8" s="93" t="str">
        <f t="shared" ref="E8" si="0">B8</f>
        <v>штук</v>
      </c>
      <c r="F8" s="94">
        <f>'Материальные запасы'!F6/'ПРЯМЫЕ ЗАТРАТЫ'!M13</f>
        <v>3.3333333333333333E-2</v>
      </c>
      <c r="G8" s="312" t="s">
        <v>207</v>
      </c>
      <c r="H8" s="93" t="str">
        <f t="shared" ref="H8" si="1">B8</f>
        <v>штук</v>
      </c>
      <c r="I8" s="90">
        <f>'Материальные запасы'!J6/'ПРЯМЫЕ ЗАТРАТЫ'!T13</f>
        <v>0.02</v>
      </c>
      <c r="J8" s="312" t="s">
        <v>207</v>
      </c>
      <c r="K8" s="93" t="str">
        <f t="shared" ref="K8" si="2">B8</f>
        <v>штук</v>
      </c>
      <c r="L8" s="90">
        <f>'Материальные запасы'!N6/'ПРЯМЫЕ ЗАТРАТЫ'!AA13</f>
        <v>1.4285714285714285E-2</v>
      </c>
      <c r="M8" s="312" t="s">
        <v>207</v>
      </c>
      <c r="N8" s="93" t="str">
        <f t="shared" ref="N8" si="3">B8</f>
        <v>штук</v>
      </c>
      <c r="O8" s="90">
        <f>'Материальные запасы'!R6/'ПРЯМЫЕ ЗАТРАТЫ'!AF13</f>
        <v>1.4285714285714285E-2</v>
      </c>
      <c r="P8" s="90"/>
    </row>
    <row r="9" spans="1:16" x14ac:dyDescent="0.25">
      <c r="A9" s="93" t="str">
        <f>'Материальные запасы'!A7</f>
        <v xml:space="preserve">Клюшка для игры в хоккей                  </v>
      </c>
      <c r="B9" s="93" t="s">
        <v>149</v>
      </c>
      <c r="C9" s="93">
        <f>'Материальные запасы'!B7/'ПРЯМЫЕ ЗАТРАТЫ'!F14</f>
        <v>3.75</v>
      </c>
      <c r="D9" s="314"/>
      <c r="E9" s="93" t="str">
        <f t="shared" ref="E9:E11" si="4">B9</f>
        <v>штук</v>
      </c>
      <c r="F9" s="94">
        <f>'Материальные запасы'!F7/'ПРЯМЫЕ ЗАТРАТЫ'!M14</f>
        <v>2.5</v>
      </c>
      <c r="G9" s="314"/>
      <c r="H9" s="93" t="str">
        <f t="shared" ref="H9:H11" si="5">B9</f>
        <v>штук</v>
      </c>
      <c r="I9" s="90">
        <f>'Материальные запасы'!J7/'ПРЯМЫЕ ЗАТРАТЫ'!T14</f>
        <v>1.5</v>
      </c>
      <c r="J9" s="314"/>
      <c r="K9" s="93" t="str">
        <f t="shared" ref="K9:K11" si="6">B9</f>
        <v>штук</v>
      </c>
      <c r="L9" s="90">
        <f>'Материальные запасы'!N7/'ПРЯМЫЕ ЗАТРАТЫ'!AA14</f>
        <v>1.0714285714285714</v>
      </c>
      <c r="M9" s="314"/>
      <c r="N9" s="93" t="str">
        <f t="shared" ref="N9:N11" si="7">B9</f>
        <v>штук</v>
      </c>
      <c r="O9" s="90">
        <f>'Материальные запасы'!R7/'ПРЯМЫЕ ЗАТРАТЫ'!AF14</f>
        <v>1.0714285714285714</v>
      </c>
      <c r="P9" s="90"/>
    </row>
    <row r="10" spans="1:16" ht="25.5" x14ac:dyDescent="0.25">
      <c r="A10" s="93" t="str">
        <f>'Материальные запасы'!A8</f>
        <v xml:space="preserve">Ограждение площадки (борта, сетка защитная) </v>
      </c>
      <c r="B10" s="93" t="s">
        <v>171</v>
      </c>
      <c r="C10" s="93">
        <f>'Материальные запасы'!B8/'ПРЯМЫЕ ЗАТРАТЫ'!F15</f>
        <v>2.5000000000000001E-2</v>
      </c>
      <c r="D10" s="314"/>
      <c r="E10" s="93" t="str">
        <f t="shared" si="4"/>
        <v>комплект</v>
      </c>
      <c r="F10" s="94">
        <f>'Материальные запасы'!F8/'ПРЯМЫЕ ЗАТРАТЫ'!M15</f>
        <v>1.6666666666666666E-2</v>
      </c>
      <c r="G10" s="314"/>
      <c r="H10" s="93" t="str">
        <f t="shared" si="5"/>
        <v>комплект</v>
      </c>
      <c r="I10" s="90">
        <f>'Материальные запасы'!J8/'ПРЯМЫЕ ЗАТРАТЫ'!T15</f>
        <v>0.01</v>
      </c>
      <c r="J10" s="314"/>
      <c r="K10" s="93" t="str">
        <f t="shared" si="6"/>
        <v>комплект</v>
      </c>
      <c r="L10" s="90">
        <f>'Материальные запасы'!N8/'ПРЯМЫЕ ЗАТРАТЫ'!AA15</f>
        <v>7.1428571428571426E-3</v>
      </c>
      <c r="M10" s="314"/>
      <c r="N10" s="93" t="str">
        <f t="shared" si="7"/>
        <v>комплект</v>
      </c>
      <c r="O10" s="90">
        <f>'Материальные запасы'!R8/'ПРЯМЫЕ ЗАТРАТЫ'!AF15</f>
        <v>7.1428571428571426E-3</v>
      </c>
      <c r="P10" s="90"/>
    </row>
    <row r="11" spans="1:16" x14ac:dyDescent="0.25">
      <c r="A11" s="93" t="str">
        <f>'Материальные запасы'!A9</f>
        <v xml:space="preserve">Шайба                                     </v>
      </c>
      <c r="B11" s="93" t="s">
        <v>149</v>
      </c>
      <c r="C11" s="93">
        <f>'Материальные запасы'!B9/'ПРЯМЫЕ ЗАТРАТЫ'!F16</f>
        <v>7.5</v>
      </c>
      <c r="D11" s="314"/>
      <c r="E11" s="93" t="str">
        <f t="shared" si="4"/>
        <v>штук</v>
      </c>
      <c r="F11" s="94">
        <f>'Материальные запасы'!F9/'ПРЯМЫЕ ЗАТРАТЫ'!M16</f>
        <v>5</v>
      </c>
      <c r="G11" s="314"/>
      <c r="H11" s="93" t="str">
        <f t="shared" si="5"/>
        <v>штук</v>
      </c>
      <c r="I11" s="90">
        <f>'Материальные запасы'!J9/'ПРЯМЫЕ ЗАТРАТЫ'!T16</f>
        <v>3</v>
      </c>
      <c r="J11" s="314"/>
      <c r="K11" s="93" t="str">
        <f t="shared" si="6"/>
        <v>штук</v>
      </c>
      <c r="L11" s="90">
        <f>'Материальные запасы'!N9/'ПРЯМЫЕ ЗАТРАТЫ'!AA16</f>
        <v>2.1428571428571428</v>
      </c>
      <c r="M11" s="314"/>
      <c r="N11" s="93" t="str">
        <f t="shared" si="7"/>
        <v>штук</v>
      </c>
      <c r="O11" s="90">
        <f>'Материальные запасы'!R9/'ПРЯМЫЕ ЗАТРАТЫ'!AF16</f>
        <v>2.1428571428571428</v>
      </c>
      <c r="P11" s="90"/>
    </row>
    <row r="12" spans="1:16" s="101" customFormat="1" x14ac:dyDescent="0.25">
      <c r="A12" s="90" t="str">
        <f>'Материальные запасы'!A11</f>
        <v xml:space="preserve">Гантели массивные от 1 до 5 кг            </v>
      </c>
      <c r="B12" s="93" t="s">
        <v>171</v>
      </c>
      <c r="C12" s="93">
        <f>'Материальные запасы'!B11/'ПРЯМЫЕ ЗАТРАТЫ'!F18</f>
        <v>7.4999999999999997E-2</v>
      </c>
      <c r="D12" s="314"/>
      <c r="E12" s="93" t="str">
        <f t="shared" ref="E12" si="8">B12</f>
        <v>комплект</v>
      </c>
      <c r="F12" s="94">
        <f>'Материальные запасы'!F11/'ПРЯМЫЕ ЗАТРАТЫ'!M18</f>
        <v>0.05</v>
      </c>
      <c r="G12" s="314"/>
      <c r="H12" s="93" t="str">
        <f t="shared" ref="H12" si="9">B12</f>
        <v>комплект</v>
      </c>
      <c r="I12" s="90">
        <f>'Материальные запасы'!J11/'ПРЯМЫЕ ЗАТРАТЫ'!T18</f>
        <v>0.03</v>
      </c>
      <c r="J12" s="314"/>
      <c r="K12" s="93" t="str">
        <f t="shared" ref="K12" si="10">B12</f>
        <v>комплект</v>
      </c>
      <c r="L12" s="90">
        <f>'Материальные запасы'!N11/'ПРЯМЫЕ ЗАТРАТЫ'!AA18</f>
        <v>2.1428571428571429E-2</v>
      </c>
      <c r="M12" s="314"/>
      <c r="N12" s="93" t="str">
        <f t="shared" ref="N12" si="11">B12</f>
        <v>комплект</v>
      </c>
      <c r="O12" s="90">
        <f>'Материальные запасы'!R11/'ПРЯМЫЕ ЗАТРАТЫ'!AF18</f>
        <v>2.1428571428571429E-2</v>
      </c>
      <c r="P12" s="90"/>
    </row>
    <row r="13" spans="1:16" s="101" customFormat="1" ht="25.5" x14ac:dyDescent="0.25">
      <c r="A13" s="90" t="str">
        <f>'Материальные запасы'!A12</f>
        <v>Мячи набивные (медицинбол) весом от 1 кг до 5 кг</v>
      </c>
      <c r="B13" s="93" t="s">
        <v>171</v>
      </c>
      <c r="C13" s="93">
        <f>'Материальные запасы'!B12/'ПРЯМЫЕ ЗАТРАТЫ'!F19</f>
        <v>0.15</v>
      </c>
      <c r="D13" s="314"/>
      <c r="E13" s="93" t="str">
        <f t="shared" ref="E13:E17" si="12">B13</f>
        <v>комплект</v>
      </c>
      <c r="F13" s="94">
        <f>'Материальные запасы'!F12/'ПРЯМЫЕ ЗАТРАТЫ'!M19</f>
        <v>0.1</v>
      </c>
      <c r="G13" s="314"/>
      <c r="H13" s="93" t="str">
        <f t="shared" ref="H13:H17" si="13">B13</f>
        <v>комплект</v>
      </c>
      <c r="I13" s="90">
        <f>'Материальные запасы'!J12/'ПРЯМЫЕ ЗАТРАТЫ'!T19</f>
        <v>0.06</v>
      </c>
      <c r="J13" s="314"/>
      <c r="K13" s="93" t="str">
        <f t="shared" ref="K13:K17" si="14">B13</f>
        <v>комплект</v>
      </c>
      <c r="L13" s="90">
        <f>'Материальные запасы'!N12/'ПРЯМЫЕ ЗАТРАТЫ'!AA19</f>
        <v>4.2857142857142858E-2</v>
      </c>
      <c r="M13" s="314"/>
      <c r="N13" s="93" t="str">
        <f t="shared" ref="N13:N17" si="15">B13</f>
        <v>комплект</v>
      </c>
      <c r="O13" s="90">
        <f>'Материальные запасы'!R12/'ПРЯМЫЕ ЗАТРАТЫ'!AF19</f>
        <v>4.2857142857142858E-2</v>
      </c>
      <c r="P13" s="90"/>
    </row>
    <row r="14" spans="1:16" s="101" customFormat="1" x14ac:dyDescent="0.25">
      <c r="A14" s="90" t="str">
        <f>'Материальные запасы'!A13</f>
        <v xml:space="preserve">Сумка для клюшек                          </v>
      </c>
      <c r="B14" s="93" t="s">
        <v>149</v>
      </c>
      <c r="C14" s="93">
        <f>'Материальные запасы'!B13/'ПРЯМЫЕ ЗАТРАТЫ'!F20</f>
        <v>0.2</v>
      </c>
      <c r="D14" s="314"/>
      <c r="E14" s="93" t="str">
        <f t="shared" si="12"/>
        <v>штук</v>
      </c>
      <c r="F14" s="94">
        <f>'Материальные запасы'!F13/'ПРЯМЫЕ ЗАТРАТЫ'!M20</f>
        <v>0.13333333333333333</v>
      </c>
      <c r="G14" s="314"/>
      <c r="H14" s="93" t="str">
        <f t="shared" si="13"/>
        <v>штук</v>
      </c>
      <c r="I14" s="90">
        <f>'Материальные запасы'!J13/'ПРЯМЫЕ ЗАТРАТЫ'!T20</f>
        <v>0.08</v>
      </c>
      <c r="J14" s="314"/>
      <c r="K14" s="93" t="str">
        <f t="shared" si="14"/>
        <v>штук</v>
      </c>
      <c r="L14" s="90">
        <f>'Материальные запасы'!N13/'ПРЯМЫЕ ЗАТРАТЫ'!AA20</f>
        <v>5.7142857142857141E-2</v>
      </c>
      <c r="M14" s="314"/>
      <c r="N14" s="93" t="str">
        <f t="shared" si="15"/>
        <v>штук</v>
      </c>
      <c r="O14" s="90">
        <f>'Материальные запасы'!R13/'ПРЯМЫЕ ЗАТРАТЫ'!AF20</f>
        <v>5.7142857142857141E-2</v>
      </c>
      <c r="P14" s="90"/>
    </row>
    <row r="15" spans="1:16" s="101" customFormat="1" x14ac:dyDescent="0.25">
      <c r="A15" s="90" t="str">
        <f>'Материальные запасы'!A15</f>
        <v xml:space="preserve">Клюшка хоккейная для вратаря  </v>
      </c>
      <c r="B15" s="93" t="s">
        <v>149</v>
      </c>
      <c r="C15" s="93">
        <f>'Материальные запасы'!B15/'ПРЯМЫЕ ЗАТРАТЫ'!F22</f>
        <v>5</v>
      </c>
      <c r="D15" s="314"/>
      <c r="E15" s="93" t="str">
        <f t="shared" si="12"/>
        <v>штук</v>
      </c>
      <c r="F15" s="94">
        <f>'Материальные запасы'!F15/'ПРЯМЫЕ ЗАТРАТЫ'!M22</f>
        <v>3</v>
      </c>
      <c r="G15" s="314"/>
      <c r="H15" s="93" t="str">
        <f t="shared" si="13"/>
        <v>штук</v>
      </c>
      <c r="I15" s="90">
        <f>'Материальные запасы'!J15/'ПРЯМЫЕ ЗАТРАТЫ'!T22</f>
        <v>2</v>
      </c>
      <c r="J15" s="314"/>
      <c r="K15" s="93" t="str">
        <f t="shared" si="14"/>
        <v>штук</v>
      </c>
      <c r="L15" s="90">
        <f>'Материальные запасы'!N15/'ПРЯМЫЕ ЗАТРАТЫ'!AA22</f>
        <v>0</v>
      </c>
      <c r="M15" s="314"/>
      <c r="N15" s="93" t="str">
        <f t="shared" si="15"/>
        <v>штук</v>
      </c>
      <c r="O15" s="90">
        <f>'Материальные запасы'!R15/'ПРЯМЫЕ ЗАТРАТЫ'!AF22</f>
        <v>0</v>
      </c>
      <c r="P15" s="90"/>
    </row>
    <row r="16" spans="1:16" s="101" customFormat="1" x14ac:dyDescent="0.25">
      <c r="A16" s="90" t="str">
        <f>'Материальные запасы'!A16</f>
        <v xml:space="preserve">Клюшка хоккейная </v>
      </c>
      <c r="B16" s="93" t="s">
        <v>149</v>
      </c>
      <c r="C16" s="93">
        <f>'Материальные запасы'!B16/'ПРЯМЫЕ ЗАТРАТЫ'!F23</f>
        <v>5</v>
      </c>
      <c r="D16" s="314"/>
      <c r="E16" s="93" t="str">
        <f t="shared" si="12"/>
        <v>штук</v>
      </c>
      <c r="F16" s="94">
        <f>'Материальные запасы'!F16/'ПРЯМЫЕ ЗАТРАТЫ'!M23</f>
        <v>3</v>
      </c>
      <c r="G16" s="314"/>
      <c r="H16" s="93" t="str">
        <f t="shared" si="13"/>
        <v>штук</v>
      </c>
      <c r="I16" s="90">
        <f>'Материальные запасы'!J16/'ПРЯМЫЕ ЗАТРАТЫ'!T23</f>
        <v>2</v>
      </c>
      <c r="J16" s="314"/>
      <c r="K16" s="93" t="str">
        <f t="shared" si="14"/>
        <v>штук</v>
      </c>
      <c r="L16" s="90">
        <f>'Материальные запасы'!N16/'ПРЯМЫЕ ЗАТРАТЫ'!AA23</f>
        <v>0</v>
      </c>
      <c r="M16" s="314"/>
      <c r="N16" s="93" t="str">
        <f t="shared" si="15"/>
        <v>штук</v>
      </c>
      <c r="O16" s="90">
        <f>'Материальные запасы'!R16/'ПРЯМЫЕ ЗАТРАТЫ'!AF23</f>
        <v>0</v>
      </c>
      <c r="P16" s="90"/>
    </row>
    <row r="17" spans="1:16" s="101" customFormat="1" x14ac:dyDescent="0.25">
      <c r="A17" s="90" t="str">
        <f>'Материальные запасы'!A17</f>
        <v xml:space="preserve">Шайба   </v>
      </c>
      <c r="B17" s="93" t="s">
        <v>149</v>
      </c>
      <c r="C17" s="93">
        <f>'Материальные запасы'!B17/'ПРЯМЫЕ ЗАТРАТЫ'!F24</f>
        <v>20</v>
      </c>
      <c r="D17" s="314"/>
      <c r="E17" s="93" t="str">
        <f t="shared" si="12"/>
        <v>штук</v>
      </c>
      <c r="F17" s="94">
        <f>'Материальные запасы'!F17/'ПРЯМЫЕ ЗАТРАТЫ'!M24</f>
        <v>15</v>
      </c>
      <c r="G17" s="314"/>
      <c r="H17" s="93" t="str">
        <f t="shared" si="13"/>
        <v>штук</v>
      </c>
      <c r="I17" s="90">
        <f>'Материальные запасы'!J17/'ПРЯМЫЕ ЗАТРАТЫ'!T24</f>
        <v>10</v>
      </c>
      <c r="J17" s="314"/>
      <c r="K17" s="93" t="str">
        <f t="shared" si="14"/>
        <v>штук</v>
      </c>
      <c r="L17" s="90">
        <f>'Материальные запасы'!N17/'ПРЯМЫЕ ЗАТРАТЫ'!AA24</f>
        <v>0</v>
      </c>
      <c r="M17" s="314"/>
      <c r="N17" s="93" t="str">
        <f t="shared" si="15"/>
        <v>штук</v>
      </c>
      <c r="O17" s="90">
        <f>'Материальные запасы'!R17/'ПРЯМЫЕ ЗАТРАТЫ'!AF24</f>
        <v>0</v>
      </c>
      <c r="P17" s="90"/>
    </row>
    <row r="18" spans="1:16" s="101" customFormat="1" x14ac:dyDescent="0.25">
      <c r="A18" s="90" t="str">
        <f>'Материальные запасы'!A19</f>
        <v xml:space="preserve">Гетры        </v>
      </c>
      <c r="B18" s="93" t="s">
        <v>150</v>
      </c>
      <c r="C18" s="93">
        <f>'Материальные запасы'!B19/'ПРЯМЫЕ ЗАТРАТЫ'!F26</f>
        <v>4</v>
      </c>
      <c r="D18" s="314"/>
      <c r="E18" s="93" t="str">
        <f t="shared" ref="E18:E29" si="16">B18</f>
        <v>пар</v>
      </c>
      <c r="F18" s="94">
        <f>'Материальные запасы'!F19/'ПРЯМЫЕ ЗАТРАТЫ'!M26</f>
        <v>2</v>
      </c>
      <c r="G18" s="314"/>
      <c r="H18" s="93" t="str">
        <f t="shared" ref="H18:H29" si="17">B18</f>
        <v>пар</v>
      </c>
      <c r="I18" s="90">
        <f>'Материальные запасы'!J19/'ПРЯМЫЕ ЗАТРАТЫ'!T26</f>
        <v>2</v>
      </c>
      <c r="J18" s="314"/>
      <c r="K18" s="93" t="str">
        <f t="shared" ref="K18:K29" si="18">B18</f>
        <v>пар</v>
      </c>
      <c r="L18" s="90">
        <f>'Материальные запасы'!N19/'ПРЯМЫЕ ЗАТРАТЫ'!AA26</f>
        <v>0</v>
      </c>
      <c r="M18" s="314"/>
      <c r="N18" s="93" t="str">
        <f t="shared" ref="N18:N29" si="19">B18</f>
        <v>пар</v>
      </c>
      <c r="O18" s="90">
        <f>'Материальные запасы'!R19/'ПРЯМЫЕ ЗАТРАТЫ'!AF26</f>
        <v>0</v>
      </c>
      <c r="P18" s="90"/>
    </row>
    <row r="19" spans="1:16" s="101" customFormat="1" ht="25.5" x14ac:dyDescent="0.25">
      <c r="A19" s="90" t="str">
        <f>'Материальные запасы'!A20</f>
        <v xml:space="preserve">Защита вратаря (панцирь, шорты, щитки, налокотники) </v>
      </c>
      <c r="B19" s="93" t="s">
        <v>171</v>
      </c>
      <c r="C19" s="93">
        <f>'Материальные запасы'!B20/'ПРЯМЫЕ ЗАТРАТЫ'!F27</f>
        <v>1</v>
      </c>
      <c r="D19" s="314"/>
      <c r="E19" s="93" t="str">
        <f t="shared" si="16"/>
        <v>комплект</v>
      </c>
      <c r="F19" s="94">
        <f>'Материальные запасы'!F20/'ПРЯМЫЕ ЗАТРАТЫ'!M27</f>
        <v>1</v>
      </c>
      <c r="G19" s="314"/>
      <c r="H19" s="93" t="str">
        <f t="shared" si="17"/>
        <v>комплект</v>
      </c>
      <c r="I19" s="90">
        <f>'Материальные запасы'!J20/'ПРЯМЫЕ ЗАТРАТЫ'!T27</f>
        <v>1</v>
      </c>
      <c r="J19" s="314"/>
      <c r="K19" s="93" t="str">
        <f t="shared" si="18"/>
        <v>комплект</v>
      </c>
      <c r="L19" s="90">
        <f>'Материальные запасы'!N20/'ПРЯМЫЕ ЗАТРАТЫ'!AA27</f>
        <v>0</v>
      </c>
      <c r="M19" s="314"/>
      <c r="N19" s="93" t="str">
        <f t="shared" si="19"/>
        <v>комплект</v>
      </c>
      <c r="O19" s="90">
        <f>'Материальные запасы'!R20/'ПРЯМЫЕ ЗАТРАТЫ'!AF27</f>
        <v>0</v>
      </c>
      <c r="P19" s="90"/>
    </row>
    <row r="20" spans="1:16" s="101" customFormat="1" ht="25.5" x14ac:dyDescent="0.25">
      <c r="A20" s="90" t="str">
        <f>'Материальные запасы'!A21</f>
        <v xml:space="preserve">Защита (панцирь, шорты, защита голени, налокотники, визор, краги)     </v>
      </c>
      <c r="B20" s="93" t="s">
        <v>171</v>
      </c>
      <c r="C20" s="93">
        <f>'Материальные запасы'!B21/'ПРЯМЫЕ ЗАТРАТЫ'!F28</f>
        <v>1</v>
      </c>
      <c r="D20" s="314"/>
      <c r="E20" s="93" t="str">
        <f t="shared" si="16"/>
        <v>комплект</v>
      </c>
      <c r="F20" s="94">
        <f>'Материальные запасы'!F21/'ПРЯМЫЕ ЗАТРАТЫ'!M28</f>
        <v>1</v>
      </c>
      <c r="G20" s="314"/>
      <c r="H20" s="93" t="str">
        <f t="shared" si="17"/>
        <v>комплект</v>
      </c>
      <c r="I20" s="90">
        <f>'Материальные запасы'!J21/'ПРЯМЫЕ ЗАТРАТЫ'!T28</f>
        <v>1</v>
      </c>
      <c r="J20" s="314"/>
      <c r="K20" s="93" t="str">
        <f t="shared" si="18"/>
        <v>комплект</v>
      </c>
      <c r="L20" s="90">
        <f>'Материальные запасы'!N21/'ПРЯМЫЕ ЗАТРАТЫ'!AA28</f>
        <v>0</v>
      </c>
      <c r="M20" s="314"/>
      <c r="N20" s="93" t="str">
        <f t="shared" si="19"/>
        <v>комплект</v>
      </c>
      <c r="O20" s="90">
        <f>'Материальные запасы'!R21/'ПРЯМЫЕ ЗАТРАТЫ'!AF28</f>
        <v>0</v>
      </c>
      <c r="P20" s="90"/>
    </row>
    <row r="21" spans="1:16" s="101" customFormat="1" ht="25.5" x14ac:dyDescent="0.25">
      <c r="A21" s="90" t="str">
        <f>'Материальные запасы'!A22</f>
        <v xml:space="preserve">Коньки хоккейные для вратаря (ботинки с лезвиями)    </v>
      </c>
      <c r="B21" s="93" t="s">
        <v>150</v>
      </c>
      <c r="C21" s="93">
        <f>'Материальные запасы'!B22/'ПРЯМЫЕ ЗАТРАТЫ'!F29</f>
        <v>2</v>
      </c>
      <c r="D21" s="314"/>
      <c r="E21" s="93" t="str">
        <f t="shared" si="16"/>
        <v>пар</v>
      </c>
      <c r="F21" s="94">
        <f>'Материальные запасы'!F22/'ПРЯМЫЕ ЗАТРАТЫ'!M29</f>
        <v>1</v>
      </c>
      <c r="G21" s="314"/>
      <c r="H21" s="93" t="str">
        <f t="shared" si="17"/>
        <v>пар</v>
      </c>
      <c r="I21" s="90">
        <f>'Материальные запасы'!J22/'ПРЯМЫЕ ЗАТРАТЫ'!T29</f>
        <v>1</v>
      </c>
      <c r="J21" s="314"/>
      <c r="K21" s="93" t="str">
        <f t="shared" si="18"/>
        <v>пар</v>
      </c>
      <c r="L21" s="90">
        <f>'Материальные запасы'!N22/'ПРЯМЫЕ ЗАТРАТЫ'!AA29</f>
        <v>0</v>
      </c>
      <c r="M21" s="314"/>
      <c r="N21" s="93" t="str">
        <f t="shared" si="19"/>
        <v>пар</v>
      </c>
      <c r="O21" s="90">
        <f>'Материальные запасы'!R22/'ПРЯМЫЕ ЗАТРАТЫ'!AF29</f>
        <v>0</v>
      </c>
      <c r="P21" s="90"/>
    </row>
    <row r="22" spans="1:16" s="101" customFormat="1" x14ac:dyDescent="0.25">
      <c r="A22" s="90" t="str">
        <f>'Материальные запасы'!A23</f>
        <v xml:space="preserve">Коньки хоккейные (ботинки с лезвиями)     </v>
      </c>
      <c r="B22" s="93" t="s">
        <v>150</v>
      </c>
      <c r="C22" s="93">
        <f>'Материальные запасы'!B23/'ПРЯМЫЕ ЗАТРАТЫ'!F30</f>
        <v>2</v>
      </c>
      <c r="D22" s="314"/>
      <c r="E22" s="93" t="str">
        <f t="shared" si="16"/>
        <v>пар</v>
      </c>
      <c r="F22" s="94">
        <f>'Материальные запасы'!F23/'ПРЯМЫЕ ЗАТРАТЫ'!M30</f>
        <v>1</v>
      </c>
      <c r="G22" s="314"/>
      <c r="H22" s="93" t="str">
        <f t="shared" si="17"/>
        <v>пар</v>
      </c>
      <c r="I22" s="90">
        <f>'Материальные запасы'!J23/'ПРЯМЫЕ ЗАТРАТЫ'!T30</f>
        <v>1</v>
      </c>
      <c r="J22" s="314"/>
      <c r="K22" s="93" t="str">
        <f t="shared" si="18"/>
        <v>пар</v>
      </c>
      <c r="L22" s="90">
        <f>'Материальные запасы'!N23/'ПРЯМЫЕ ЗАТРАТЫ'!AA30</f>
        <v>0</v>
      </c>
      <c r="M22" s="314"/>
      <c r="N22" s="93" t="str">
        <f t="shared" si="19"/>
        <v>пар</v>
      </c>
      <c r="O22" s="90">
        <f>'Материальные запасы'!R23/'ПРЯМЫЕ ЗАТРАТЫ'!AF30</f>
        <v>0</v>
      </c>
      <c r="P22" s="90"/>
    </row>
    <row r="23" spans="1:16" s="101" customFormat="1" x14ac:dyDescent="0.25">
      <c r="A23" s="90" t="str">
        <f>'Материальные запасы'!A24</f>
        <v xml:space="preserve">Майка        </v>
      </c>
      <c r="B23" s="93" t="s">
        <v>149</v>
      </c>
      <c r="C23" s="93">
        <f>'Материальные запасы'!B24/'ПРЯМЫЕ ЗАТРАТЫ'!F31</f>
        <v>2</v>
      </c>
      <c r="D23" s="314"/>
      <c r="E23" s="93" t="str">
        <f t="shared" si="16"/>
        <v>штук</v>
      </c>
      <c r="F23" s="94">
        <f>'Материальные запасы'!F24/'ПРЯМЫЕ ЗАТРАТЫ'!M31</f>
        <v>2</v>
      </c>
      <c r="G23" s="314"/>
      <c r="H23" s="93" t="str">
        <f t="shared" si="17"/>
        <v>штук</v>
      </c>
      <c r="I23" s="90">
        <f>'Материальные запасы'!J24/'ПРЯМЫЕ ЗАТРАТЫ'!T31</f>
        <v>1</v>
      </c>
      <c r="J23" s="314"/>
      <c r="K23" s="93" t="str">
        <f t="shared" si="18"/>
        <v>штук</v>
      </c>
      <c r="L23" s="90">
        <f>'Материальные запасы'!N24/'ПРЯМЫЕ ЗАТРАТЫ'!AA31</f>
        <v>0</v>
      </c>
      <c r="M23" s="314"/>
      <c r="N23" s="93" t="str">
        <f t="shared" si="19"/>
        <v>штук</v>
      </c>
      <c r="O23" s="90">
        <f>'Материальные запасы'!R24/'ПРЯМЫЕ ЗАТРАТЫ'!AF31</f>
        <v>0</v>
      </c>
      <c r="P23" s="90"/>
    </row>
    <row r="24" spans="1:16" s="101" customFormat="1" x14ac:dyDescent="0.25">
      <c r="A24" s="90" t="str">
        <f>'Материальные запасы'!A25</f>
        <v xml:space="preserve">Перчатка вратаря - блин  </v>
      </c>
      <c r="B24" s="93" t="s">
        <v>149</v>
      </c>
      <c r="C24" s="93">
        <f>'Материальные запасы'!B25/'ПРЯМЫЕ ЗАТРАТЫ'!F32</f>
        <v>1</v>
      </c>
      <c r="D24" s="314"/>
      <c r="E24" s="93" t="str">
        <f t="shared" si="16"/>
        <v>штук</v>
      </c>
      <c r="F24" s="94">
        <f>'Материальные запасы'!F25/'ПРЯМЫЕ ЗАТРАТЫ'!M32</f>
        <v>1</v>
      </c>
      <c r="G24" s="314"/>
      <c r="H24" s="93" t="str">
        <f t="shared" si="17"/>
        <v>штук</v>
      </c>
      <c r="I24" s="90">
        <f>'Материальные запасы'!J25/'ПРЯМЫЕ ЗАТРАТЫ'!T32</f>
        <v>1</v>
      </c>
      <c r="J24" s="314"/>
      <c r="K24" s="93" t="str">
        <f t="shared" si="18"/>
        <v>штук</v>
      </c>
      <c r="L24" s="90">
        <f>'Материальные запасы'!N25/'ПРЯМЫЕ ЗАТРАТЫ'!AA32</f>
        <v>0</v>
      </c>
      <c r="M24" s="314"/>
      <c r="N24" s="93" t="str">
        <f t="shared" si="19"/>
        <v>штук</v>
      </c>
      <c r="O24" s="90">
        <f>'Материальные запасы'!R25/'ПРЯМЫЕ ЗАТРАТЫ'!AF32</f>
        <v>0</v>
      </c>
      <c r="P24" s="90"/>
    </row>
    <row r="25" spans="1:16" s="101" customFormat="1" x14ac:dyDescent="0.25">
      <c r="A25" s="90" t="str">
        <f>'Материальные запасы'!A26</f>
        <v xml:space="preserve">Перчатка вратаря - ловушка    </v>
      </c>
      <c r="B25" s="93" t="s">
        <v>149</v>
      </c>
      <c r="C25" s="93">
        <f>'Материальные запасы'!B26/'ПРЯМЫЕ ЗАТРАТЫ'!F33</f>
        <v>1</v>
      </c>
      <c r="D25" s="314"/>
      <c r="E25" s="93" t="str">
        <f t="shared" si="16"/>
        <v>штук</v>
      </c>
      <c r="F25" s="94">
        <f>'Материальные запасы'!F26/'ПРЯМЫЕ ЗАТРАТЫ'!M33</f>
        <v>1</v>
      </c>
      <c r="G25" s="314"/>
      <c r="H25" s="93" t="str">
        <f t="shared" si="17"/>
        <v>штук</v>
      </c>
      <c r="I25" s="90">
        <f>'Материальные запасы'!J26/'ПРЯМЫЕ ЗАТРАТЫ'!T33</f>
        <v>1</v>
      </c>
      <c r="J25" s="314"/>
      <c r="K25" s="93" t="str">
        <f t="shared" si="18"/>
        <v>штук</v>
      </c>
      <c r="L25" s="90">
        <f>'Материальные запасы'!N26/'ПРЯМЫЕ ЗАТРАТЫ'!AA33</f>
        <v>0</v>
      </c>
      <c r="M25" s="314"/>
      <c r="N25" s="93" t="str">
        <f t="shared" si="19"/>
        <v>штук</v>
      </c>
      <c r="O25" s="90">
        <f>'Материальные запасы'!R26/'ПРЯМЫЕ ЗАТРАТЫ'!AF33</f>
        <v>0</v>
      </c>
      <c r="P25" s="90"/>
    </row>
    <row r="26" spans="1:16" s="101" customFormat="1" x14ac:dyDescent="0.25">
      <c r="A26" s="90" t="str">
        <f>'Материальные запасы'!A27</f>
        <v xml:space="preserve">Подтяжки     </v>
      </c>
      <c r="B26" s="93" t="s">
        <v>149</v>
      </c>
      <c r="C26" s="93">
        <f>'Материальные запасы'!B27/'ПРЯМЫЕ ЗАТРАТЫ'!F34</f>
        <v>1</v>
      </c>
      <c r="D26" s="314"/>
      <c r="E26" s="93" t="str">
        <f t="shared" si="16"/>
        <v>штук</v>
      </c>
      <c r="F26" s="94">
        <f>'Материальные запасы'!F27/'ПРЯМЫЕ ЗАТРАТЫ'!M34</f>
        <v>1</v>
      </c>
      <c r="G26" s="314"/>
      <c r="H26" s="93" t="str">
        <f t="shared" si="17"/>
        <v>штук</v>
      </c>
      <c r="I26" s="90">
        <f>'Материальные запасы'!J27/'ПРЯМЫЕ ЗАТРАТЫ'!T34</f>
        <v>1</v>
      </c>
      <c r="J26" s="314"/>
      <c r="K26" s="93" t="str">
        <f t="shared" si="18"/>
        <v>штук</v>
      </c>
      <c r="L26" s="90">
        <f>'Материальные запасы'!N27/'ПРЯМЫЕ ЗАТРАТЫ'!AA34</f>
        <v>0</v>
      </c>
      <c r="M26" s="314"/>
      <c r="N26" s="93" t="str">
        <f t="shared" si="19"/>
        <v>штук</v>
      </c>
      <c r="O26" s="90">
        <f>'Материальные запасы'!R27/'ПРЯМЫЕ ЗАТРАТЫ'!AF34</f>
        <v>0</v>
      </c>
      <c r="P26" s="90"/>
    </row>
    <row r="27" spans="1:16" s="101" customFormat="1" x14ac:dyDescent="0.25">
      <c r="A27" s="90" t="str">
        <f>'Материальные запасы'!A28</f>
        <v xml:space="preserve">Подтяжки для гетр   </v>
      </c>
      <c r="B27" s="93" t="s">
        <v>149</v>
      </c>
      <c r="C27" s="93">
        <f>'Материальные запасы'!B28/'ПРЯМЫЕ ЗАТРАТЫ'!F35</f>
        <v>1</v>
      </c>
      <c r="D27" s="314"/>
      <c r="E27" s="93" t="str">
        <f t="shared" si="16"/>
        <v>штук</v>
      </c>
      <c r="F27" s="94">
        <f>'Материальные запасы'!F28/'ПРЯМЫЕ ЗАТРАТЫ'!M35</f>
        <v>1</v>
      </c>
      <c r="G27" s="314"/>
      <c r="H27" s="93" t="str">
        <f t="shared" si="17"/>
        <v>штук</v>
      </c>
      <c r="I27" s="90">
        <f>'Материальные запасы'!J28/'ПРЯМЫЕ ЗАТРАТЫ'!T35</f>
        <v>1</v>
      </c>
      <c r="J27" s="314"/>
      <c r="K27" s="93" t="str">
        <f t="shared" si="18"/>
        <v>штук</v>
      </c>
      <c r="L27" s="90">
        <f>'Материальные запасы'!N28/'ПРЯМЫЕ ЗАТРАТЫ'!AA35</f>
        <v>0</v>
      </c>
      <c r="M27" s="314"/>
      <c r="N27" s="93" t="str">
        <f t="shared" si="19"/>
        <v>штук</v>
      </c>
      <c r="O27" s="90">
        <f>'Материальные запасы'!R28/'ПРЯМЫЕ ЗАТРАТЫ'!AF35</f>
        <v>0</v>
      </c>
      <c r="P27" s="90"/>
    </row>
    <row r="28" spans="1:16" s="101" customFormat="1" x14ac:dyDescent="0.25">
      <c r="A28" s="90" t="str">
        <f>'Материальные запасы'!A29</f>
        <v xml:space="preserve">Раковина защитная    </v>
      </c>
      <c r="B28" s="93" t="s">
        <v>149</v>
      </c>
      <c r="C28" s="93">
        <f>'Материальные запасы'!B29/'ПРЯМЫЕ ЗАТРАТЫ'!F36</f>
        <v>1</v>
      </c>
      <c r="D28" s="314"/>
      <c r="E28" s="93" t="str">
        <f t="shared" si="16"/>
        <v>штук</v>
      </c>
      <c r="F28" s="94">
        <f>'Материальные запасы'!F29/'ПРЯМЫЕ ЗАТРАТЫ'!M36</f>
        <v>1</v>
      </c>
      <c r="G28" s="314"/>
      <c r="H28" s="93" t="str">
        <f t="shared" si="17"/>
        <v>штук</v>
      </c>
      <c r="I28" s="90">
        <f>'Материальные запасы'!J29/'ПРЯМЫЕ ЗАТРАТЫ'!T36</f>
        <v>1</v>
      </c>
      <c r="J28" s="314"/>
      <c r="K28" s="93" t="str">
        <f t="shared" si="18"/>
        <v>штук</v>
      </c>
      <c r="L28" s="90">
        <f>'Материальные запасы'!N29/'ПРЯМЫЕ ЗАТРАТЫ'!AA36</f>
        <v>0</v>
      </c>
      <c r="M28" s="314"/>
      <c r="N28" s="93" t="str">
        <f t="shared" si="19"/>
        <v>штук</v>
      </c>
      <c r="O28" s="90">
        <f>'Материальные запасы'!R29/'ПРЯМЫЕ ЗАТРАТЫ'!AF36</f>
        <v>0</v>
      </c>
      <c r="P28" s="90"/>
    </row>
    <row r="29" spans="1:16" s="101" customFormat="1" x14ac:dyDescent="0.25">
      <c r="A29" s="90" t="str">
        <f>'Материальные запасы'!A30</f>
        <v xml:space="preserve">Рейтузы      </v>
      </c>
      <c r="B29" s="93" t="s">
        <v>149</v>
      </c>
      <c r="C29" s="93">
        <f>'Материальные запасы'!B30/'ПРЯМЫЕ ЗАТРАТЫ'!F37</f>
        <v>6</v>
      </c>
      <c r="D29" s="314"/>
      <c r="E29" s="93" t="str">
        <f t="shared" si="16"/>
        <v>штук</v>
      </c>
      <c r="F29" s="94">
        <f>'Материальные запасы'!F30/'ПРЯМЫЕ ЗАТРАТЫ'!M37</f>
        <v>4</v>
      </c>
      <c r="G29" s="314"/>
      <c r="H29" s="93" t="str">
        <f t="shared" si="17"/>
        <v>штук</v>
      </c>
      <c r="I29" s="90">
        <f>'Материальные запасы'!J30/'ПРЯМЫЕ ЗАТРАТЫ'!T37</f>
        <v>4</v>
      </c>
      <c r="J29" s="314"/>
      <c r="K29" s="93" t="str">
        <f t="shared" si="18"/>
        <v>штук</v>
      </c>
      <c r="L29" s="90">
        <f>'Материальные запасы'!N30/'ПРЯМЫЕ ЗАТРАТЫ'!AA37</f>
        <v>0</v>
      </c>
      <c r="M29" s="314"/>
      <c r="N29" s="93" t="str">
        <f t="shared" si="19"/>
        <v>штук</v>
      </c>
      <c r="O29" s="90">
        <f>'Материальные запасы'!R30/'ПРЯМЫЕ ЗАТРАТЫ'!AF37</f>
        <v>0</v>
      </c>
      <c r="P29" s="90"/>
    </row>
    <row r="30" spans="1:16" s="101" customFormat="1" x14ac:dyDescent="0.25">
      <c r="A30" s="90" t="str">
        <f>'Материальные запасы'!A31</f>
        <v xml:space="preserve">Свитер       </v>
      </c>
      <c r="B30" s="93" t="s">
        <v>149</v>
      </c>
      <c r="C30" s="93">
        <f>'Материальные запасы'!B31/'ПРЯМЫЕ ЗАТРАТЫ'!F38</f>
        <v>4</v>
      </c>
      <c r="D30" s="314"/>
      <c r="E30" s="93" t="str">
        <f t="shared" ref="E30:E32" si="20">B30</f>
        <v>штук</v>
      </c>
      <c r="F30" s="94">
        <f>'Материальные запасы'!F31/'ПРЯМЫЕ ЗАТРАТЫ'!M38</f>
        <v>2</v>
      </c>
      <c r="G30" s="314"/>
      <c r="H30" s="93" t="str">
        <f t="shared" ref="H30:H32" si="21">B30</f>
        <v>штук</v>
      </c>
      <c r="I30" s="90">
        <f>'Материальные запасы'!J31/'ПРЯМЫЕ ЗАТРАТЫ'!T38</f>
        <v>2</v>
      </c>
      <c r="J30" s="314"/>
      <c r="K30" s="93" t="str">
        <f t="shared" ref="K30:K32" si="22">B30</f>
        <v>штук</v>
      </c>
      <c r="L30" s="90">
        <f>'Материальные запасы'!N31/'ПРЯМЫЕ ЗАТРАТЫ'!AA38</f>
        <v>1</v>
      </c>
      <c r="M30" s="314"/>
      <c r="N30" s="93" t="str">
        <f t="shared" ref="N30:N32" si="23">B30</f>
        <v>штук</v>
      </c>
      <c r="O30" s="90">
        <f>'Материальные запасы'!R31/'ПРЯМЫЕ ЗАТРАТЫ'!AF38</f>
        <v>1</v>
      </c>
      <c r="P30" s="90"/>
    </row>
    <row r="31" spans="1:16" s="101" customFormat="1" x14ac:dyDescent="0.25">
      <c r="A31" s="90" t="str">
        <f>'Материальные запасы'!A32</f>
        <v xml:space="preserve">Шлем защитный для вратаря (с маской) </v>
      </c>
      <c r="B31" s="93" t="s">
        <v>149</v>
      </c>
      <c r="C31" s="93">
        <f>'Материальные запасы'!B32/'ПРЯМЫЕ ЗАТРАТЫ'!F39</f>
        <v>0.5</v>
      </c>
      <c r="D31" s="314"/>
      <c r="E31" s="93" t="str">
        <f t="shared" si="20"/>
        <v>штук</v>
      </c>
      <c r="F31" s="94">
        <f>'Материальные запасы'!F32/'ПРЯМЫЕ ЗАТРАТЫ'!M39</f>
        <v>0.5</v>
      </c>
      <c r="G31" s="314"/>
      <c r="H31" s="93" t="str">
        <f t="shared" si="21"/>
        <v>штук</v>
      </c>
      <c r="I31" s="90">
        <f>'Материальные запасы'!J32/'ПРЯМЫЕ ЗАТРАТЫ'!T39</f>
        <v>0.5</v>
      </c>
      <c r="J31" s="314"/>
      <c r="K31" s="93" t="str">
        <f t="shared" si="22"/>
        <v>штук</v>
      </c>
      <c r="L31" s="90">
        <f>'Материальные запасы'!N32/'ПРЯМЫЕ ЗАТРАТЫ'!AA39</f>
        <v>1</v>
      </c>
      <c r="M31" s="314"/>
      <c r="N31" s="93" t="str">
        <f t="shared" si="23"/>
        <v>штук</v>
      </c>
      <c r="O31" s="90">
        <f>'Материальные запасы'!R32/'ПРЯМЫЕ ЗАТРАТЫ'!AF39</f>
        <v>1</v>
      </c>
      <c r="P31" s="90"/>
    </row>
    <row r="32" spans="1:16" s="101" customFormat="1" x14ac:dyDescent="0.25">
      <c r="A32" s="90" t="str">
        <f>'Материальные запасы'!A33</f>
        <v xml:space="preserve">Шлем защитный       </v>
      </c>
      <c r="B32" s="93" t="s">
        <v>149</v>
      </c>
      <c r="C32" s="93">
        <f>'Материальные запасы'!B33/'ПРЯМЫЕ ЗАТРАТЫ'!F40</f>
        <v>0.5</v>
      </c>
      <c r="D32" s="313"/>
      <c r="E32" s="93" t="str">
        <f t="shared" si="20"/>
        <v>штук</v>
      </c>
      <c r="F32" s="94">
        <f>'Материальные запасы'!F33/'ПРЯМЫЕ ЗАТРАТЫ'!M40</f>
        <v>0.5</v>
      </c>
      <c r="G32" s="313"/>
      <c r="H32" s="93" t="str">
        <f t="shared" si="21"/>
        <v>штук</v>
      </c>
      <c r="I32" s="90">
        <f>'Материальные запасы'!J33/'ПРЯМЫЕ ЗАТРАТЫ'!T40</f>
        <v>0.5</v>
      </c>
      <c r="J32" s="313"/>
      <c r="K32" s="93" t="str">
        <f t="shared" si="22"/>
        <v>штук</v>
      </c>
      <c r="L32" s="90">
        <f>'Материальные запасы'!N33/'ПРЯМЫЕ ЗАТРАТЫ'!AA40</f>
        <v>1.5</v>
      </c>
      <c r="M32" s="313"/>
      <c r="N32" s="93" t="str">
        <f t="shared" si="23"/>
        <v>штук</v>
      </c>
      <c r="O32" s="90">
        <f>'Материальные запасы'!R33/'ПРЯМЫЕ ЗАТРАТЫ'!AF40</f>
        <v>1.5</v>
      </c>
      <c r="P32" s="90"/>
    </row>
    <row r="33" spans="1:16" ht="15.75" customHeight="1" x14ac:dyDescent="0.25">
      <c r="A33" s="309" t="s">
        <v>151</v>
      </c>
      <c r="B33" s="309"/>
      <c r="C33" s="309"/>
      <c r="D33" s="309"/>
      <c r="E33" s="96"/>
      <c r="F33" s="120"/>
      <c r="G33" s="96"/>
      <c r="H33" s="96"/>
      <c r="I33" s="96"/>
      <c r="J33" s="96"/>
      <c r="K33" s="96"/>
      <c r="L33" s="96"/>
      <c r="M33" s="96"/>
      <c r="N33" s="96"/>
      <c r="O33" s="96"/>
      <c r="P33" s="96"/>
    </row>
    <row r="34" spans="1:16" ht="38.25" customHeight="1" x14ac:dyDescent="0.25">
      <c r="A34" s="88" t="s">
        <v>32</v>
      </c>
      <c r="B34" s="88" t="s">
        <v>152</v>
      </c>
      <c r="C34" s="89">
        <f>'Иные нормативные затраты'!C5</f>
        <v>8</v>
      </c>
      <c r="D34" s="312" t="s">
        <v>208</v>
      </c>
      <c r="E34" s="88" t="s">
        <v>152</v>
      </c>
      <c r="F34" s="91">
        <f>'Иные нормативные затраты'!G5</f>
        <v>9</v>
      </c>
      <c r="G34" s="312" t="s">
        <v>208</v>
      </c>
      <c r="H34" s="88" t="s">
        <v>152</v>
      </c>
      <c r="I34" s="88">
        <f>'Иные нормативные затраты'!K5</f>
        <v>11</v>
      </c>
      <c r="J34" s="312" t="s">
        <v>208</v>
      </c>
      <c r="K34" s="88" t="s">
        <v>152</v>
      </c>
      <c r="L34" s="88">
        <f>'Иные нормативные затраты'!O5</f>
        <v>2</v>
      </c>
      <c r="M34" s="312" t="s">
        <v>208</v>
      </c>
      <c r="N34" s="88" t="s">
        <v>152</v>
      </c>
      <c r="O34" s="88">
        <f>'Иные нормативные затраты'!S5</f>
        <v>0</v>
      </c>
      <c r="P34" s="90"/>
    </row>
    <row r="35" spans="1:16" ht="25.5" x14ac:dyDescent="0.25">
      <c r="A35" s="88" t="s">
        <v>33</v>
      </c>
      <c r="B35" s="88" t="s">
        <v>153</v>
      </c>
      <c r="C35" s="89">
        <f>'Иные нормативные затраты'!C6</f>
        <v>116</v>
      </c>
      <c r="D35" s="314"/>
      <c r="E35" s="88" t="s">
        <v>153</v>
      </c>
      <c r="F35" s="91">
        <f>'Иные нормативные затраты'!G6</f>
        <v>173</v>
      </c>
      <c r="G35" s="314"/>
      <c r="H35" s="88" t="s">
        <v>153</v>
      </c>
      <c r="I35" s="88">
        <f>'Иные нормативные затраты'!K6</f>
        <v>200</v>
      </c>
      <c r="J35" s="314"/>
      <c r="K35" s="88" t="s">
        <v>153</v>
      </c>
      <c r="L35" s="88">
        <f>'Иные нормативные затраты'!O6</f>
        <v>42</v>
      </c>
      <c r="M35" s="314"/>
      <c r="N35" s="88" t="s">
        <v>153</v>
      </c>
      <c r="O35" s="88">
        <f>'Иные нормативные затраты'!S6</f>
        <v>0</v>
      </c>
      <c r="P35" s="90"/>
    </row>
    <row r="36" spans="1:16" x14ac:dyDescent="0.25">
      <c r="A36" s="88" t="s">
        <v>209</v>
      </c>
      <c r="B36" s="88" t="s">
        <v>153</v>
      </c>
      <c r="C36" s="89">
        <f>'Иные нормативные затраты'!C7</f>
        <v>116</v>
      </c>
      <c r="D36" s="313"/>
      <c r="E36" s="88" t="s">
        <v>153</v>
      </c>
      <c r="F36" s="91">
        <f>'Иные нормативные затраты'!G7</f>
        <v>173</v>
      </c>
      <c r="G36" s="313"/>
      <c r="H36" s="88" t="s">
        <v>153</v>
      </c>
      <c r="I36" s="88">
        <f>'Иные нормативные затраты'!K7</f>
        <v>200</v>
      </c>
      <c r="J36" s="313"/>
      <c r="K36" s="88" t="s">
        <v>153</v>
      </c>
      <c r="L36" s="88">
        <f>'Иные нормативные затраты'!O7</f>
        <v>42</v>
      </c>
      <c r="M36" s="313"/>
      <c r="N36" s="88" t="s">
        <v>153</v>
      </c>
      <c r="O36" s="88">
        <f>'Иные нормативные затраты'!S7</f>
        <v>0</v>
      </c>
      <c r="P36" s="90"/>
    </row>
    <row r="37" spans="1:16" x14ac:dyDescent="0.25">
      <c r="A37" s="310" t="s">
        <v>154</v>
      </c>
      <c r="B37" s="310"/>
      <c r="C37" s="310"/>
      <c r="D37" s="310"/>
      <c r="E37" s="96"/>
      <c r="F37" s="120"/>
      <c r="G37" s="96"/>
      <c r="H37" s="96"/>
      <c r="I37" s="96"/>
      <c r="J37" s="96"/>
      <c r="K37" s="96"/>
      <c r="L37" s="96"/>
      <c r="M37" s="96"/>
      <c r="N37" s="96"/>
      <c r="O37" s="96"/>
      <c r="P37" s="96"/>
    </row>
    <row r="38" spans="1:16" x14ac:dyDescent="0.25">
      <c r="A38" s="309" t="s">
        <v>155</v>
      </c>
      <c r="B38" s="309"/>
      <c r="C38" s="309"/>
      <c r="D38" s="309"/>
      <c r="E38" s="96"/>
      <c r="F38" s="120"/>
      <c r="G38" s="96"/>
      <c r="H38" s="96"/>
      <c r="I38" s="96"/>
      <c r="J38" s="96"/>
      <c r="K38" s="96"/>
      <c r="L38" s="96"/>
      <c r="M38" s="96"/>
      <c r="N38" s="96"/>
      <c r="O38" s="96"/>
      <c r="P38" s="96"/>
    </row>
    <row r="39" spans="1:16" x14ac:dyDescent="0.25">
      <c r="A39" s="95" t="s">
        <v>50</v>
      </c>
      <c r="B39" s="96"/>
      <c r="C39" s="90" t="e">
        <f>'Плановые затраты ОХН'!#REF!/'Общее полезное время'!E3</f>
        <v>#REF!</v>
      </c>
      <c r="D39" s="312" t="s">
        <v>204</v>
      </c>
      <c r="E39" s="96"/>
      <c r="F39" s="120"/>
      <c r="G39" s="312" t="s">
        <v>204</v>
      </c>
      <c r="H39" s="96"/>
      <c r="I39" s="96"/>
      <c r="J39" s="312" t="s">
        <v>204</v>
      </c>
      <c r="K39" s="96"/>
      <c r="L39" s="96"/>
      <c r="M39" s="312" t="s">
        <v>204</v>
      </c>
      <c r="N39" s="96"/>
      <c r="O39" s="96"/>
      <c r="P39" s="96"/>
    </row>
    <row r="40" spans="1:16" x14ac:dyDescent="0.25">
      <c r="A40" s="95" t="s">
        <v>51</v>
      </c>
      <c r="B40" s="90" t="s">
        <v>108</v>
      </c>
      <c r="C40" s="90">
        <f>'Плановые затраты ОХН'!$C$4/'Общее полезное время'!$E$3</f>
        <v>5040.1033295285824</v>
      </c>
      <c r="D40" s="314"/>
      <c r="E40" s="90" t="s">
        <v>108</v>
      </c>
      <c r="F40" s="94">
        <f>'Плановые затраты ОХН'!$C4/'Общее полезное время'!$E$4</f>
        <v>3065.7038770779268</v>
      </c>
      <c r="G40" s="314"/>
      <c r="H40" s="90" t="s">
        <v>108</v>
      </c>
      <c r="I40" s="94">
        <f>'Плановые затраты ОХН'!$C4/'Общее полезное время'!$E$5</f>
        <v>1292.3341870586112</v>
      </c>
      <c r="J40" s="314"/>
      <c r="K40" s="90" t="s">
        <v>108</v>
      </c>
      <c r="L40" s="94">
        <f>'Плановые затраты ОХН'!$C4/'Общее полезное время'!$E$6</f>
        <v>538.47257794108782</v>
      </c>
      <c r="M40" s="314"/>
      <c r="N40" s="90" t="s">
        <v>108</v>
      </c>
      <c r="O40" s="94">
        <f>'Плановые затраты ОХН'!$C4/'Общее полезное время'!$E$7</f>
        <v>692.32187402537375</v>
      </c>
      <c r="P40" s="117"/>
    </row>
    <row r="41" spans="1:16" x14ac:dyDescent="0.25">
      <c r="A41" s="95" t="s">
        <v>52</v>
      </c>
      <c r="B41" s="95" t="s">
        <v>107</v>
      </c>
      <c r="C41" s="90">
        <f>'Плановые затраты ОХН'!C5/'Общее полезное время'!E3</f>
        <v>2.7294098030677865</v>
      </c>
      <c r="D41" s="314"/>
      <c r="E41" s="95" t="s">
        <v>107</v>
      </c>
      <c r="F41" s="94">
        <f>'Плановые затраты ОХН'!$C5/'Общее полезное время'!$E$4</f>
        <v>1.6601965611252774</v>
      </c>
      <c r="G41" s="314"/>
      <c r="H41" s="95" t="s">
        <v>107</v>
      </c>
      <c r="I41" s="94">
        <f>'Плановые затраты ОХН'!$C5/'Общее полезное время'!$E$5</f>
        <v>0.69984866745327867</v>
      </c>
      <c r="J41" s="314"/>
      <c r="K41" s="95" t="s">
        <v>107</v>
      </c>
      <c r="L41" s="94">
        <f>'Плановые затраты ОХН'!$C5/'Общее полезное время'!$E$6</f>
        <v>0.29160361143886604</v>
      </c>
      <c r="M41" s="314"/>
      <c r="N41" s="95" t="s">
        <v>107</v>
      </c>
      <c r="O41" s="94">
        <f>'Плановые затраты ОХН'!$C5/'Общее полезное время'!$E$7</f>
        <v>0.37491892254912551</v>
      </c>
      <c r="P41" s="110"/>
    </row>
    <row r="42" spans="1:16" x14ac:dyDescent="0.25">
      <c r="A42" s="95" t="s">
        <v>53</v>
      </c>
      <c r="B42" s="95" t="s">
        <v>107</v>
      </c>
      <c r="C42" s="90" t="e">
        <f>'Плановые затраты ОХН'!#REF!/'Общее полезное время'!E3</f>
        <v>#REF!</v>
      </c>
      <c r="D42" s="314"/>
      <c r="E42" s="95" t="s">
        <v>107</v>
      </c>
      <c r="F42" s="94" t="e">
        <f>'Плановые затраты ОХН'!#REF!/'Общее полезное время'!$E$4</f>
        <v>#REF!</v>
      </c>
      <c r="G42" s="314"/>
      <c r="H42" s="95" t="s">
        <v>107</v>
      </c>
      <c r="I42" s="94" t="e">
        <f>'Плановые затраты ОХН'!#REF!/'Общее полезное время'!$E$5</f>
        <v>#REF!</v>
      </c>
      <c r="J42" s="314"/>
      <c r="K42" s="95" t="s">
        <v>107</v>
      </c>
      <c r="L42" s="94" t="e">
        <f>'Плановые затраты ОХН'!#REF!/'Общее полезное время'!$E$6</f>
        <v>#REF!</v>
      </c>
      <c r="M42" s="314"/>
      <c r="N42" s="95" t="s">
        <v>107</v>
      </c>
      <c r="O42" s="94" t="e">
        <f>'Плановые затраты ОХН'!#REF!/'Общее полезное время'!$E$7</f>
        <v>#REF!</v>
      </c>
      <c r="P42" s="110"/>
    </row>
    <row r="43" spans="1:16" x14ac:dyDescent="0.25">
      <c r="A43" s="95" t="s">
        <v>54</v>
      </c>
      <c r="B43" s="95" t="s">
        <v>107</v>
      </c>
      <c r="C43" s="90">
        <f>'Плановые затраты ОХН'!C6/'Общее полезное время'!E3</f>
        <v>15.408758979137231</v>
      </c>
      <c r="D43" s="314"/>
      <c r="E43" s="95" t="s">
        <v>107</v>
      </c>
      <c r="F43" s="94">
        <f>'Плановые затраты ОХН'!$C6/'Общее полезное время'!$E$4</f>
        <v>9.3725642223527021</v>
      </c>
      <c r="G43" s="314"/>
      <c r="H43" s="95" t="s">
        <v>107</v>
      </c>
      <c r="I43" s="94">
        <f>'Плановые затраты ОХН'!$C6/'Общее полезное время'!$E$5</f>
        <v>3.9509638408044183</v>
      </c>
      <c r="J43" s="314"/>
      <c r="K43" s="95" t="s">
        <v>107</v>
      </c>
      <c r="L43" s="94">
        <f>'Плановые затраты ОХН'!$C6/'Общее полезное время'!$E$6</f>
        <v>1.6462349336685074</v>
      </c>
      <c r="M43" s="314"/>
      <c r="N43" s="95" t="s">
        <v>107</v>
      </c>
      <c r="O43" s="94">
        <f>'Плановые затраты ОХН'!$C6/'Общее полезное время'!$E$7</f>
        <v>2.1165877354818812</v>
      </c>
      <c r="P43" s="110"/>
    </row>
    <row r="44" spans="1:16" x14ac:dyDescent="0.25">
      <c r="A44" s="95" t="s">
        <v>55</v>
      </c>
      <c r="B44" s="95" t="s">
        <v>107</v>
      </c>
      <c r="C44" s="90">
        <f>'Плановые затраты ОХН'!C7/'Общее полезное время'!E3</f>
        <v>15.408758979137231</v>
      </c>
      <c r="D44" s="313"/>
      <c r="E44" s="95" t="s">
        <v>107</v>
      </c>
      <c r="F44" s="94">
        <f>'Плановые затраты ОХН'!$C7/'Общее полезное время'!$E$4</f>
        <v>9.3725642223527021</v>
      </c>
      <c r="G44" s="313"/>
      <c r="H44" s="95" t="s">
        <v>107</v>
      </c>
      <c r="I44" s="94">
        <f>'Плановые затраты ОХН'!$C7/'Общее полезное время'!$E$5</f>
        <v>3.9509638408044183</v>
      </c>
      <c r="J44" s="313"/>
      <c r="K44" s="95" t="s">
        <v>107</v>
      </c>
      <c r="L44" s="94">
        <f>'Плановые затраты ОХН'!$C7/'Общее полезное время'!$E$6</f>
        <v>1.6462349336685074</v>
      </c>
      <c r="M44" s="313"/>
      <c r="N44" s="95" t="s">
        <v>107</v>
      </c>
      <c r="O44" s="94">
        <f>'Плановые затраты ОХН'!$C7/'Общее полезное время'!$E$7</f>
        <v>2.1165877354818812</v>
      </c>
      <c r="P44" s="110"/>
    </row>
    <row r="45" spans="1:16" x14ac:dyDescent="0.25">
      <c r="A45" s="309" t="s">
        <v>156</v>
      </c>
      <c r="B45" s="309"/>
      <c r="C45" s="309"/>
      <c r="D45" s="309"/>
      <c r="E45" s="96"/>
      <c r="F45" s="120"/>
      <c r="G45" s="96"/>
      <c r="H45" s="96"/>
      <c r="I45" s="96"/>
      <c r="J45" s="96"/>
      <c r="K45" s="96"/>
      <c r="L45" s="96"/>
      <c r="M45" s="96"/>
      <c r="N45" s="96"/>
      <c r="O45" s="96"/>
      <c r="P45" s="96"/>
    </row>
    <row r="46" spans="1:16" ht="38.25" x14ac:dyDescent="0.25">
      <c r="A46" s="95" t="s">
        <v>58</v>
      </c>
      <c r="B46" s="121" t="s">
        <v>109</v>
      </c>
      <c r="C46" s="90">
        <f>'Плановые затраты ОХН'!$C11/'Общее полезное время'!E$3</f>
        <v>1.5508010244703332E-3</v>
      </c>
      <c r="D46" s="312" t="s">
        <v>204</v>
      </c>
      <c r="E46" s="121" t="s">
        <v>109</v>
      </c>
      <c r="F46" s="90">
        <f>'Плановые затраты ОХН'!C11/'Общее полезное время'!E$4</f>
        <v>9.432935006393621E-4</v>
      </c>
      <c r="G46" s="312" t="s">
        <v>204</v>
      </c>
      <c r="H46" s="121" t="s">
        <v>109</v>
      </c>
      <c r="I46" s="90">
        <f>'Плановые затраты ОХН'!C11/'Общее полезное время'!E$5</f>
        <v>3.9764128832572648E-4</v>
      </c>
      <c r="J46" s="312" t="s">
        <v>204</v>
      </c>
      <c r="K46" s="121" t="s">
        <v>109</v>
      </c>
      <c r="L46" s="90">
        <f>'Плановые затраты ОХН'!C11/'Общее полезное время'!E$6</f>
        <v>1.6568387013571933E-4</v>
      </c>
      <c r="M46" s="312" t="s">
        <v>204</v>
      </c>
      <c r="N46" s="121" t="s">
        <v>109</v>
      </c>
      <c r="O46" s="90">
        <f>'Плановые затраты ОХН'!C11/'Общее полезное время'!E$7</f>
        <v>2.130221150847304E-4</v>
      </c>
      <c r="P46" s="110"/>
    </row>
    <row r="47" spans="1:16" ht="63.75" x14ac:dyDescent="0.25">
      <c r="A47" s="95" t="s">
        <v>157</v>
      </c>
      <c r="B47" s="121" t="s">
        <v>110</v>
      </c>
      <c r="C47" s="90">
        <f>'Плановые затраты ОХН'!$C12/'Общее полезное время'!E$3</f>
        <v>1.5508010244703332E-3</v>
      </c>
      <c r="D47" s="314"/>
      <c r="E47" s="121" t="s">
        <v>110</v>
      </c>
      <c r="F47" s="90">
        <f>'Плановые затраты ОХН'!C12/'Общее полезное время'!E$4</f>
        <v>9.432935006393621E-4</v>
      </c>
      <c r="G47" s="314"/>
      <c r="H47" s="121" t="s">
        <v>110</v>
      </c>
      <c r="I47" s="90">
        <f>'Плановые затраты ОХН'!C12/'Общее полезное время'!E$5</f>
        <v>3.9764128832572648E-4</v>
      </c>
      <c r="J47" s="314"/>
      <c r="K47" s="121" t="s">
        <v>110</v>
      </c>
      <c r="L47" s="90">
        <f>'Плановые затраты ОХН'!C12/'Общее полезное время'!E$6</f>
        <v>1.6568387013571933E-4</v>
      </c>
      <c r="M47" s="314"/>
      <c r="N47" s="121" t="s">
        <v>110</v>
      </c>
      <c r="O47" s="90">
        <f>'Плановые затраты ОХН'!C12/'Общее полезное время'!E$7</f>
        <v>2.130221150847304E-4</v>
      </c>
      <c r="P47" s="110"/>
    </row>
    <row r="48" spans="1:16" ht="51" x14ac:dyDescent="0.25">
      <c r="A48" s="95" t="s">
        <v>59</v>
      </c>
      <c r="B48" s="121" t="s">
        <v>111</v>
      </c>
      <c r="C48" s="90">
        <f>'Плановые затраты ОХН'!$C13/'Общее полезное время'!E$3</f>
        <v>0</v>
      </c>
      <c r="D48" s="314"/>
      <c r="E48" s="121" t="s">
        <v>111</v>
      </c>
      <c r="F48" s="90">
        <f>'Плановые затраты ОХН'!C13/'Общее полезное время'!E$4</f>
        <v>0</v>
      </c>
      <c r="G48" s="314"/>
      <c r="H48" s="121" t="s">
        <v>111</v>
      </c>
      <c r="I48" s="90">
        <f>'Плановые затраты ОХН'!C13/'Общее полезное время'!E$5</f>
        <v>0</v>
      </c>
      <c r="J48" s="314"/>
      <c r="K48" s="121" t="s">
        <v>111</v>
      </c>
      <c r="L48" s="90">
        <f>'Плановые затраты ОХН'!C13/'Общее полезное время'!E$6</f>
        <v>0</v>
      </c>
      <c r="M48" s="314"/>
      <c r="N48" s="121" t="s">
        <v>111</v>
      </c>
      <c r="O48" s="90">
        <f>'Плановые затраты ОХН'!C13/'Общее полезное время'!E$7</f>
        <v>0</v>
      </c>
      <c r="P48" s="110"/>
    </row>
    <row r="49" spans="1:16" x14ac:dyDescent="0.25">
      <c r="A49" s="95" t="s">
        <v>60</v>
      </c>
      <c r="B49" s="121" t="s">
        <v>112</v>
      </c>
      <c r="C49" s="90">
        <f>'Плановые затраты ОХН'!$C14/'Общее полезное время'!E$3</f>
        <v>0</v>
      </c>
      <c r="D49" s="314"/>
      <c r="E49" s="121" t="s">
        <v>112</v>
      </c>
      <c r="F49" s="90">
        <f>'Плановые затраты ОХН'!C14/'Общее полезное время'!E$4</f>
        <v>0</v>
      </c>
      <c r="G49" s="314"/>
      <c r="H49" s="121" t="s">
        <v>112</v>
      </c>
      <c r="I49" s="90">
        <f>'Плановые затраты ОХН'!C14/'Общее полезное время'!E$5</f>
        <v>0</v>
      </c>
      <c r="J49" s="314"/>
      <c r="K49" s="121" t="s">
        <v>112</v>
      </c>
      <c r="L49" s="90">
        <f>'Плановые затраты ОХН'!C14/'Общее полезное время'!E$6</f>
        <v>0</v>
      </c>
      <c r="M49" s="314"/>
      <c r="N49" s="121" t="s">
        <v>112</v>
      </c>
      <c r="O49" s="90">
        <f>'Плановые затраты ОХН'!C14/'Общее полезное время'!E$7</f>
        <v>0</v>
      </c>
      <c r="P49" s="110"/>
    </row>
    <row r="50" spans="1:16" ht="25.5" x14ac:dyDescent="0.25">
      <c r="A50" s="95" t="s">
        <v>158</v>
      </c>
      <c r="B50" s="121" t="s">
        <v>159</v>
      </c>
      <c r="C50" s="90">
        <f>'Плановые затраты ОХН'!$C15/'Общее полезное время'!E$3</f>
        <v>0.47237399205366348</v>
      </c>
      <c r="D50" s="314"/>
      <c r="E50" s="121" t="s">
        <v>159</v>
      </c>
      <c r="F50" s="90">
        <f>'Плановые затраты ОХН'!C15/'Общее полезное время'!E$4</f>
        <v>0.28732720029474973</v>
      </c>
      <c r="G50" s="314"/>
      <c r="H50" s="121" t="s">
        <v>159</v>
      </c>
      <c r="I50" s="90">
        <f>'Плановые затраты ОХН'!C15/'Общее полезное время'!E$5</f>
        <v>0.1211215364240163</v>
      </c>
      <c r="J50" s="314"/>
      <c r="K50" s="121" t="s">
        <v>159</v>
      </c>
      <c r="L50" s="90">
        <f>'Плановые затраты ОХН'!C15/'Общее полезное время'!E$6</f>
        <v>5.0467306843340116E-2</v>
      </c>
      <c r="M50" s="314"/>
      <c r="N50" s="121" t="s">
        <v>159</v>
      </c>
      <c r="O50" s="90">
        <f>'Плановые затраты ОХН'!C15/'Общее полезное время'!E$7</f>
        <v>6.4886536254808891E-2</v>
      </c>
      <c r="P50" s="110"/>
    </row>
    <row r="51" spans="1:16" ht="51" x14ac:dyDescent="0.25">
      <c r="A51" s="95" t="s">
        <v>61</v>
      </c>
      <c r="B51" s="121" t="s">
        <v>113</v>
      </c>
      <c r="C51" s="90">
        <f>'Плановые затраты ОХН'!$C16/'Общее полезное время'!E$3</f>
        <v>0</v>
      </c>
      <c r="D51" s="314"/>
      <c r="E51" s="121" t="s">
        <v>113</v>
      </c>
      <c r="F51" s="90">
        <f>'Плановые затраты ОХН'!C16/'Общее полезное время'!E$4</f>
        <v>0</v>
      </c>
      <c r="G51" s="314"/>
      <c r="H51" s="121" t="s">
        <v>113</v>
      </c>
      <c r="I51" s="90">
        <f>'Плановые затраты ОХН'!C16/'Общее полезное время'!E$5</f>
        <v>0</v>
      </c>
      <c r="J51" s="314"/>
      <c r="K51" s="121" t="s">
        <v>113</v>
      </c>
      <c r="L51" s="90">
        <f>'Плановые затраты ОХН'!C16/'Общее полезное время'!E$6</f>
        <v>0</v>
      </c>
      <c r="M51" s="314"/>
      <c r="N51" s="121" t="s">
        <v>113</v>
      </c>
      <c r="O51" s="90">
        <f>'Плановые затраты ОХН'!C16/'Общее полезное время'!E$7</f>
        <v>0</v>
      </c>
      <c r="P51" s="110"/>
    </row>
    <row r="52" spans="1:16" ht="38.25" x14ac:dyDescent="0.25">
      <c r="A52" s="95" t="s">
        <v>62</v>
      </c>
      <c r="B52" s="121" t="s">
        <v>160</v>
      </c>
      <c r="C52" s="90">
        <f>'Плановые затраты ОХН'!$C17/'Общее полезное время'!E$3</f>
        <v>4.6524030734109989E-3</v>
      </c>
      <c r="D52" s="314"/>
      <c r="E52" s="121" t="s">
        <v>160</v>
      </c>
      <c r="F52" s="90">
        <f>'Плановые затраты ОХН'!C17/'Общее полезное время'!E$4</f>
        <v>2.8298805019180864E-3</v>
      </c>
      <c r="G52" s="314"/>
      <c r="H52" s="121" t="s">
        <v>160</v>
      </c>
      <c r="I52" s="90">
        <f>'Плановые затраты ОХН'!C17/'Общее полезное время'!E$5</f>
        <v>1.1929238649771795E-3</v>
      </c>
      <c r="J52" s="314"/>
      <c r="K52" s="121" t="s">
        <v>160</v>
      </c>
      <c r="L52" s="90">
        <f>'Плановые затраты ОХН'!C17/'Общее полезное время'!E$6</f>
        <v>4.9705161040715796E-4</v>
      </c>
      <c r="M52" s="314"/>
      <c r="N52" s="121" t="s">
        <v>160</v>
      </c>
      <c r="O52" s="90">
        <f>'Плановые затраты ОХН'!C17/'Общее полезное время'!E$7</f>
        <v>6.3906634525419121E-4</v>
      </c>
      <c r="P52" s="110"/>
    </row>
    <row r="53" spans="1:16" ht="51" x14ac:dyDescent="0.25">
      <c r="A53" s="95" t="s">
        <v>63</v>
      </c>
      <c r="B53" s="121" t="s">
        <v>113</v>
      </c>
      <c r="C53" s="90">
        <f>'Плановые затраты ОХН'!$C18/'Общее полезное время'!E$3</f>
        <v>0</v>
      </c>
      <c r="D53" s="314"/>
      <c r="E53" s="121" t="s">
        <v>113</v>
      </c>
      <c r="F53" s="90">
        <f>'Плановые затраты ОХН'!C18/'Общее полезное время'!E$4</f>
        <v>0</v>
      </c>
      <c r="G53" s="314"/>
      <c r="H53" s="121" t="s">
        <v>113</v>
      </c>
      <c r="I53" s="90">
        <f>'Плановые затраты ОХН'!C18/'Общее полезное время'!E$5</f>
        <v>0</v>
      </c>
      <c r="J53" s="314"/>
      <c r="K53" s="121" t="s">
        <v>113</v>
      </c>
      <c r="L53" s="90">
        <f>'Плановые затраты ОХН'!C18/'Общее полезное время'!E$6</f>
        <v>0</v>
      </c>
      <c r="M53" s="314"/>
      <c r="N53" s="121" t="s">
        <v>113</v>
      </c>
      <c r="O53" s="90">
        <f>'Плановые затраты ОХН'!C18/'Общее полезное время'!E$7</f>
        <v>0</v>
      </c>
      <c r="P53" s="110"/>
    </row>
    <row r="54" spans="1:16" ht="76.5" x14ac:dyDescent="0.25">
      <c r="A54" s="95" t="s">
        <v>64</v>
      </c>
      <c r="B54" s="121" t="s">
        <v>114</v>
      </c>
      <c r="C54" s="90">
        <f>'Плановые затраты ОХН'!$C19/'Общее полезное время'!E$3</f>
        <v>1.5508010244703332E-3</v>
      </c>
      <c r="D54" s="313"/>
      <c r="E54" s="121" t="s">
        <v>114</v>
      </c>
      <c r="F54" s="90">
        <f>'Плановые затраты ОХН'!C19/'Общее полезное время'!E$4</f>
        <v>9.432935006393621E-4</v>
      </c>
      <c r="G54" s="313"/>
      <c r="H54" s="121" t="s">
        <v>114</v>
      </c>
      <c r="I54" s="90">
        <f>'Плановые затраты ОХН'!C19/'Общее полезное время'!E$5</f>
        <v>3.9764128832572648E-4</v>
      </c>
      <c r="J54" s="313"/>
      <c r="K54" s="121" t="s">
        <v>114</v>
      </c>
      <c r="L54" s="90">
        <f>'Плановые затраты ОХН'!C19/'Общее полезное время'!E$6</f>
        <v>1.6568387013571933E-4</v>
      </c>
      <c r="M54" s="313"/>
      <c r="N54" s="121" t="s">
        <v>114</v>
      </c>
      <c r="O54" s="90">
        <f>'Плановые затраты ОХН'!C19/'Общее полезное время'!E$7</f>
        <v>2.130221150847304E-4</v>
      </c>
      <c r="P54" s="110"/>
    </row>
    <row r="55" spans="1:16" ht="30.75" customHeight="1" x14ac:dyDescent="0.25">
      <c r="A55" s="309" t="s">
        <v>161</v>
      </c>
      <c r="B55" s="309"/>
      <c r="C55" s="309"/>
      <c r="D55" s="309"/>
      <c r="E55" s="96"/>
      <c r="F55" s="120"/>
      <c r="G55" s="96"/>
      <c r="H55" s="96"/>
      <c r="I55" s="96"/>
      <c r="J55" s="96"/>
      <c r="K55" s="96"/>
      <c r="L55" s="96"/>
      <c r="M55" s="96"/>
      <c r="N55" s="96"/>
      <c r="O55" s="96"/>
      <c r="P55" s="96"/>
    </row>
    <row r="56" spans="1:16" ht="25.5" x14ac:dyDescent="0.25">
      <c r="A56" s="90" t="s">
        <v>67</v>
      </c>
      <c r="B56" s="122" t="s">
        <v>115</v>
      </c>
      <c r="C56" s="96">
        <f>'Плановые затраты ОХН'!C23/'Общее полезное время'!E$3</f>
        <v>1.5508010244703332E-3</v>
      </c>
      <c r="D56" s="312" t="s">
        <v>204</v>
      </c>
      <c r="E56" s="122" t="s">
        <v>115</v>
      </c>
      <c r="F56" s="96">
        <f>'Плановые затраты ОХН'!C23/'Общее полезное время'!E$4</f>
        <v>9.432935006393621E-4</v>
      </c>
      <c r="G56" s="312" t="s">
        <v>204</v>
      </c>
      <c r="H56" s="122" t="s">
        <v>115</v>
      </c>
      <c r="I56" s="96">
        <f>'Плановые затраты ОХН'!C23/'Общее полезное время'!E$5</f>
        <v>3.9764128832572648E-4</v>
      </c>
      <c r="J56" s="312" t="s">
        <v>204</v>
      </c>
      <c r="K56" s="122" t="s">
        <v>115</v>
      </c>
      <c r="L56" s="96">
        <f>'Плановые затраты ОХН'!C23/'Общее полезное время'!E$6</f>
        <v>1.6568387013571933E-4</v>
      </c>
      <c r="M56" s="312" t="s">
        <v>204</v>
      </c>
      <c r="N56" s="122" t="s">
        <v>115</v>
      </c>
      <c r="O56" s="96">
        <f>'Плановые затраты ОХН'!C23/'Общее полезное время'!E$7</f>
        <v>2.130221150847304E-4</v>
      </c>
      <c r="P56" s="110"/>
    </row>
    <row r="57" spans="1:16" ht="38.25" x14ac:dyDescent="0.25">
      <c r="A57" s="90" t="s">
        <v>68</v>
      </c>
      <c r="B57" s="122" t="s">
        <v>115</v>
      </c>
      <c r="C57" s="96">
        <f>'Плановые затраты ОХН'!C24/'Общее полезное время'!E$3</f>
        <v>1.5508010244703332E-3</v>
      </c>
      <c r="D57" s="314"/>
      <c r="E57" s="122" t="s">
        <v>115</v>
      </c>
      <c r="F57" s="96">
        <f>'Плановые затраты ОХН'!C24/'Общее полезное время'!E$4</f>
        <v>9.432935006393621E-4</v>
      </c>
      <c r="G57" s="314"/>
      <c r="H57" s="122" t="s">
        <v>115</v>
      </c>
      <c r="I57" s="96">
        <f>'Плановые затраты ОХН'!C24/'Общее полезное время'!E$5</f>
        <v>3.9764128832572648E-4</v>
      </c>
      <c r="J57" s="314"/>
      <c r="K57" s="122" t="s">
        <v>115</v>
      </c>
      <c r="L57" s="96">
        <f>'Плановые затраты ОХН'!C24/'Общее полезное время'!E$6</f>
        <v>1.6568387013571933E-4</v>
      </c>
      <c r="M57" s="314"/>
      <c r="N57" s="122" t="s">
        <v>115</v>
      </c>
      <c r="O57" s="96">
        <f>'Плановые затраты ОХН'!C24/'Общее полезное время'!E$7</f>
        <v>2.130221150847304E-4</v>
      </c>
      <c r="P57" s="110"/>
    </row>
    <row r="58" spans="1:16" ht="38.25" x14ac:dyDescent="0.25">
      <c r="A58" s="90" t="s">
        <v>69</v>
      </c>
      <c r="B58" s="90" t="s">
        <v>116</v>
      </c>
      <c r="C58" s="96">
        <f>'Плановые затраты ОХН'!C25/'Общее полезное время'!E$3</f>
        <v>0</v>
      </c>
      <c r="D58" s="314"/>
      <c r="E58" s="90" t="s">
        <v>116</v>
      </c>
      <c r="F58" s="96">
        <f>'Плановые затраты ОХН'!C25/'Общее полезное время'!E$4</f>
        <v>0</v>
      </c>
      <c r="G58" s="314"/>
      <c r="H58" s="90" t="s">
        <v>116</v>
      </c>
      <c r="I58" s="96">
        <f>'Плановые затраты ОХН'!C25/'Общее полезное время'!E$5</f>
        <v>0</v>
      </c>
      <c r="J58" s="314"/>
      <c r="K58" s="90" t="s">
        <v>116</v>
      </c>
      <c r="L58" s="96">
        <f>'Плановые затраты ОХН'!C25/'Общее полезное время'!E$6</f>
        <v>0</v>
      </c>
      <c r="M58" s="314"/>
      <c r="N58" s="90" t="s">
        <v>116</v>
      </c>
      <c r="O58" s="96">
        <f>'Плановые затраты ОХН'!C25/'Общее полезное время'!E$7</f>
        <v>0</v>
      </c>
      <c r="P58" s="110"/>
    </row>
    <row r="59" spans="1:16" ht="38.25" x14ac:dyDescent="0.25">
      <c r="A59" s="90" t="s">
        <v>70</v>
      </c>
      <c r="B59" s="90" t="s">
        <v>117</v>
      </c>
      <c r="C59" s="96">
        <f>'Плановые затраты ОХН'!C26/'Общее полезное время'!E$3</f>
        <v>0</v>
      </c>
      <c r="D59" s="314"/>
      <c r="E59" s="90" t="s">
        <v>117</v>
      </c>
      <c r="F59" s="96">
        <f>'Плановые затраты ОХН'!C26/'Общее полезное время'!E$4</f>
        <v>0</v>
      </c>
      <c r="G59" s="314"/>
      <c r="H59" s="90" t="s">
        <v>117</v>
      </c>
      <c r="I59" s="96">
        <f>'Плановые затраты ОХН'!C26/'Общее полезное время'!E$5</f>
        <v>0</v>
      </c>
      <c r="J59" s="314"/>
      <c r="K59" s="90" t="s">
        <v>117</v>
      </c>
      <c r="L59" s="96">
        <f>'Плановые затраты ОХН'!C26/'Общее полезное время'!E$6</f>
        <v>0</v>
      </c>
      <c r="M59" s="314"/>
      <c r="N59" s="90" t="s">
        <v>117</v>
      </c>
      <c r="O59" s="96">
        <f>'Плановые затраты ОХН'!C26/'Общее полезное время'!E$7</f>
        <v>0</v>
      </c>
      <c r="P59" s="110"/>
    </row>
    <row r="60" spans="1:16" ht="38.25" x14ac:dyDescent="0.25">
      <c r="A60" s="90" t="s">
        <v>71</v>
      </c>
      <c r="B60" s="90" t="s">
        <v>117</v>
      </c>
      <c r="C60" s="96">
        <f>'Плановые затраты ОХН'!C27/'Общее полезное время'!E$3</f>
        <v>1.5508010244703332E-3</v>
      </c>
      <c r="D60" s="314"/>
      <c r="E60" s="90" t="s">
        <v>117</v>
      </c>
      <c r="F60" s="96">
        <f>'Плановые затраты ОХН'!C27/'Общее полезное время'!E$4</f>
        <v>9.432935006393621E-4</v>
      </c>
      <c r="G60" s="314"/>
      <c r="H60" s="90" t="s">
        <v>117</v>
      </c>
      <c r="I60" s="96">
        <f>'Плановые затраты ОХН'!C27/'Общее полезное время'!E$5</f>
        <v>3.9764128832572648E-4</v>
      </c>
      <c r="J60" s="314"/>
      <c r="K60" s="90" t="s">
        <v>117</v>
      </c>
      <c r="L60" s="96">
        <f>'Плановые затраты ОХН'!C27/'Общее полезное время'!E$6</f>
        <v>1.6568387013571933E-4</v>
      </c>
      <c r="M60" s="314"/>
      <c r="N60" s="90" t="s">
        <v>117</v>
      </c>
      <c r="O60" s="96">
        <f>'Плановые затраты ОХН'!C27/'Общее полезное время'!E$7</f>
        <v>2.130221150847304E-4</v>
      </c>
      <c r="P60" s="110"/>
    </row>
    <row r="61" spans="1:16" ht="38.25" x14ac:dyDescent="0.25">
      <c r="A61" s="90" t="s">
        <v>72</v>
      </c>
      <c r="B61" s="90" t="s">
        <v>116</v>
      </c>
      <c r="C61" s="96">
        <f>'Плановые затраты ОХН'!C28/'Общее полезное время'!E$3</f>
        <v>1.5508010244703332E-3</v>
      </c>
      <c r="D61" s="314"/>
      <c r="E61" s="90" t="s">
        <v>116</v>
      </c>
      <c r="F61" s="96">
        <f>'Плановые затраты ОХН'!C28/'Общее полезное время'!E$4</f>
        <v>9.432935006393621E-4</v>
      </c>
      <c r="G61" s="314"/>
      <c r="H61" s="90" t="s">
        <v>116</v>
      </c>
      <c r="I61" s="96">
        <f>'Плановые затраты ОХН'!C28/'Общее полезное время'!E$5</f>
        <v>3.9764128832572648E-4</v>
      </c>
      <c r="J61" s="314"/>
      <c r="K61" s="90" t="s">
        <v>116</v>
      </c>
      <c r="L61" s="96">
        <f>'Плановые затраты ОХН'!C28/'Общее полезное время'!E$6</f>
        <v>1.6568387013571933E-4</v>
      </c>
      <c r="M61" s="314"/>
      <c r="N61" s="90" t="s">
        <v>116</v>
      </c>
      <c r="O61" s="96">
        <f>'Плановые затраты ОХН'!C28/'Общее полезное время'!E$7</f>
        <v>2.130221150847304E-4</v>
      </c>
      <c r="P61" s="110"/>
    </row>
    <row r="62" spans="1:16" ht="38.25" x14ac:dyDescent="0.25">
      <c r="A62" s="90" t="s">
        <v>73</v>
      </c>
      <c r="B62" s="90" t="s">
        <v>118</v>
      </c>
      <c r="C62" s="96">
        <f>'Плановые затраты ОХН'!C29/'Общее полезное время'!E$3</f>
        <v>1.5508010244703332E-3</v>
      </c>
      <c r="D62" s="314"/>
      <c r="E62" s="90" t="s">
        <v>118</v>
      </c>
      <c r="F62" s="96">
        <f>'Плановые затраты ОХН'!C29/'Общее полезное время'!E$4</f>
        <v>9.432935006393621E-4</v>
      </c>
      <c r="G62" s="314"/>
      <c r="H62" s="90" t="s">
        <v>118</v>
      </c>
      <c r="I62" s="96">
        <f>'Плановые затраты ОХН'!C29/'Общее полезное время'!E$5</f>
        <v>3.9764128832572648E-4</v>
      </c>
      <c r="J62" s="314"/>
      <c r="K62" s="90" t="s">
        <v>118</v>
      </c>
      <c r="L62" s="96">
        <f>'Плановые затраты ОХН'!C29/'Общее полезное время'!E$6</f>
        <v>1.6568387013571933E-4</v>
      </c>
      <c r="M62" s="314"/>
      <c r="N62" s="90" t="s">
        <v>118</v>
      </c>
      <c r="O62" s="96">
        <f>'Плановые затраты ОХН'!C29/'Общее полезное время'!E$7</f>
        <v>2.130221150847304E-4</v>
      </c>
      <c r="P62" s="110"/>
    </row>
    <row r="63" spans="1:16" ht="38.25" x14ac:dyDescent="0.25">
      <c r="A63" s="90" t="s">
        <v>74</v>
      </c>
      <c r="B63" s="90" t="s">
        <v>109</v>
      </c>
      <c r="C63" s="96">
        <f>'Плановые затраты ОХН'!C30/'Общее полезное время'!E$3</f>
        <v>0</v>
      </c>
      <c r="D63" s="314"/>
      <c r="E63" s="90" t="s">
        <v>109</v>
      </c>
      <c r="F63" s="96">
        <f>'Плановые затраты ОХН'!C30/'Общее полезное время'!E$4</f>
        <v>0</v>
      </c>
      <c r="G63" s="314"/>
      <c r="H63" s="90" t="s">
        <v>109</v>
      </c>
      <c r="I63" s="96">
        <f>'Плановые затраты ОХН'!C30/'Общее полезное время'!E$5</f>
        <v>0</v>
      </c>
      <c r="J63" s="314"/>
      <c r="K63" s="90" t="s">
        <v>109</v>
      </c>
      <c r="L63" s="96">
        <f>'Плановые затраты ОХН'!C30/'Общее полезное время'!E$6</f>
        <v>0</v>
      </c>
      <c r="M63" s="314"/>
      <c r="N63" s="90" t="s">
        <v>109</v>
      </c>
      <c r="O63" s="96">
        <f>'Плановые затраты ОХН'!C30/'Общее полезное время'!E$7</f>
        <v>0</v>
      </c>
      <c r="P63" s="110"/>
    </row>
    <row r="64" spans="1:16" ht="38.25" x14ac:dyDescent="0.25">
      <c r="A64" s="90" t="s">
        <v>75</v>
      </c>
      <c r="B64" s="90" t="s">
        <v>109</v>
      </c>
      <c r="C64" s="96">
        <f>'Плановые затраты ОХН'!C31/'Общее полезное время'!E$3</f>
        <v>1.5508010244703332E-3</v>
      </c>
      <c r="D64" s="313"/>
      <c r="E64" s="90" t="s">
        <v>109</v>
      </c>
      <c r="F64" s="96">
        <f>'Плановые затраты ОХН'!C31/'Общее полезное время'!E$4</f>
        <v>9.432935006393621E-4</v>
      </c>
      <c r="G64" s="313"/>
      <c r="H64" s="90" t="s">
        <v>109</v>
      </c>
      <c r="I64" s="96">
        <f>'Плановые затраты ОХН'!C31/'Общее полезное время'!E$5</f>
        <v>3.9764128832572648E-4</v>
      </c>
      <c r="J64" s="313"/>
      <c r="K64" s="90" t="s">
        <v>109</v>
      </c>
      <c r="L64" s="96">
        <f>'Плановые затраты ОХН'!C31/'Общее полезное время'!E$6</f>
        <v>1.6568387013571933E-4</v>
      </c>
      <c r="M64" s="313"/>
      <c r="N64" s="90" t="s">
        <v>109</v>
      </c>
      <c r="O64" s="96">
        <f>'Плановые затраты ОХН'!C31/'Общее полезное время'!E$7</f>
        <v>2.130221150847304E-4</v>
      </c>
      <c r="P64" s="110"/>
    </row>
    <row r="65" spans="1:16" s="119" customFormat="1" x14ac:dyDescent="0.25">
      <c r="A65" s="309" t="s">
        <v>162</v>
      </c>
      <c r="B65" s="309"/>
      <c r="C65" s="309"/>
      <c r="D65" s="309"/>
      <c r="E65" s="122"/>
      <c r="F65" s="120"/>
      <c r="G65" s="122"/>
      <c r="H65" s="122"/>
      <c r="I65" s="122"/>
      <c r="J65" s="122"/>
      <c r="K65" s="122"/>
      <c r="L65" s="122"/>
      <c r="M65" s="122"/>
      <c r="N65" s="122"/>
      <c r="O65" s="122"/>
      <c r="P65" s="122"/>
    </row>
    <row r="66" spans="1:16" ht="25.5" x14ac:dyDescent="0.25">
      <c r="A66" s="90" t="s">
        <v>78</v>
      </c>
      <c r="B66" s="90" t="s">
        <v>119</v>
      </c>
      <c r="C66" s="90">
        <f>'Плановые затраты ОХН'!C34/'Общее полезное время'!E$3</f>
        <v>2.946521946493633E-2</v>
      </c>
      <c r="D66" s="312" t="s">
        <v>204</v>
      </c>
      <c r="E66" s="90" t="s">
        <v>119</v>
      </c>
      <c r="F66" s="90">
        <f>'Плановые затраты ОХН'!C34/'Общее полезное время'!E$4</f>
        <v>1.7922576512147879E-2</v>
      </c>
      <c r="G66" s="312" t="s">
        <v>204</v>
      </c>
      <c r="H66" s="90" t="s">
        <v>119</v>
      </c>
      <c r="I66" s="90">
        <f>'Плановые затраты ОХН'!C34/'Общее полезное время'!E$5</f>
        <v>7.5551844781888032E-3</v>
      </c>
      <c r="J66" s="312" t="s">
        <v>204</v>
      </c>
      <c r="K66" s="90" t="s">
        <v>119</v>
      </c>
      <c r="L66" s="90">
        <f>'Плановые затраты ОХН'!C34/'Общее полезное время'!E$6</f>
        <v>3.1479935325786673E-3</v>
      </c>
      <c r="M66" s="312" t="s">
        <v>204</v>
      </c>
      <c r="N66" s="90" t="s">
        <v>119</v>
      </c>
      <c r="O66" s="90">
        <f>'Плановые затраты ОХН'!C34/'Общее полезное время'!E$7</f>
        <v>4.0474201866098772E-3</v>
      </c>
      <c r="P66" s="110"/>
    </row>
    <row r="67" spans="1:16" ht="25.5" x14ac:dyDescent="0.25">
      <c r="A67" s="90" t="s">
        <v>79</v>
      </c>
      <c r="B67" s="90" t="s">
        <v>119</v>
      </c>
      <c r="C67" s="90">
        <f>'Плановые затраты ОХН'!C35/'Общее полезное время'!E$3</f>
        <v>2.4409608125163045</v>
      </c>
      <c r="D67" s="314"/>
      <c r="E67" s="90" t="s">
        <v>119</v>
      </c>
      <c r="F67" s="90">
        <f>'Плановые затраты ОХН'!C35/'Общее полезное время'!E$4</f>
        <v>1.4847439700063561</v>
      </c>
      <c r="G67" s="314"/>
      <c r="H67" s="90" t="s">
        <v>119</v>
      </c>
      <c r="I67" s="90">
        <f>'Плановые затраты ОХН'!C35/'Общее полезное время'!E$5</f>
        <v>0.62588738782469344</v>
      </c>
      <c r="J67" s="314"/>
      <c r="K67" s="90" t="s">
        <v>119</v>
      </c>
      <c r="L67" s="90">
        <f>'Плановые затраты ОХН'!C35/'Общее полезное время'!E$6</f>
        <v>0.26078641159362226</v>
      </c>
      <c r="M67" s="314"/>
      <c r="N67" s="90" t="s">
        <v>119</v>
      </c>
      <c r="O67" s="90">
        <f>'Плановые затраты ОХН'!C35/'Общее полезное время'!E$7</f>
        <v>0.33529680914336563</v>
      </c>
      <c r="P67" s="110"/>
    </row>
    <row r="68" spans="1:16" ht="25.5" x14ac:dyDescent="0.25">
      <c r="A68" s="90" t="s">
        <v>80</v>
      </c>
      <c r="B68" s="90" t="s">
        <v>119</v>
      </c>
      <c r="C68" s="90">
        <f>'Плановые затраты ОХН'!C36/'Общее полезное время'!E$3</f>
        <v>9.3048061468219978E-3</v>
      </c>
      <c r="D68" s="314"/>
      <c r="E68" s="90" t="s">
        <v>119</v>
      </c>
      <c r="F68" s="90">
        <f>'Плановые затраты ОХН'!C36/'Общее полезное время'!E$4</f>
        <v>5.6597610038361728E-3</v>
      </c>
      <c r="G68" s="314"/>
      <c r="H68" s="90" t="s">
        <v>119</v>
      </c>
      <c r="I68" s="90">
        <f>'Плановые затраты ОХН'!C36/'Общее полезное время'!E$5</f>
        <v>2.3858477299543591E-3</v>
      </c>
      <c r="J68" s="314"/>
      <c r="K68" s="90" t="s">
        <v>119</v>
      </c>
      <c r="L68" s="90">
        <f>'Плановые затраты ОХН'!C36/'Общее полезное время'!E$6</f>
        <v>9.9410322081431592E-4</v>
      </c>
      <c r="M68" s="314"/>
      <c r="N68" s="90" t="s">
        <v>119</v>
      </c>
      <c r="O68" s="90">
        <f>'Плановые затраты ОХН'!C36/'Общее полезное время'!E$7</f>
        <v>1.2781326905083824E-3</v>
      </c>
      <c r="P68" s="110"/>
    </row>
    <row r="69" spans="1:16" ht="25.5" x14ac:dyDescent="0.25">
      <c r="A69" s="90" t="s">
        <v>81</v>
      </c>
      <c r="B69" s="90" t="s">
        <v>119</v>
      </c>
      <c r="C69" s="90">
        <f>'Плановые затраты ОХН'!C37/'Общее полезное время'!E$3</f>
        <v>1.5508010244703332E-3</v>
      </c>
      <c r="D69" s="314"/>
      <c r="E69" s="90" t="s">
        <v>119</v>
      </c>
      <c r="F69" s="90">
        <f>'Плановые затраты ОХН'!C37/'Общее полезное время'!E$4</f>
        <v>9.432935006393621E-4</v>
      </c>
      <c r="G69" s="314"/>
      <c r="H69" s="90" t="s">
        <v>119</v>
      </c>
      <c r="I69" s="90">
        <f>'Плановые затраты ОХН'!C37/'Общее полезное время'!E$5</f>
        <v>3.9764128832572648E-4</v>
      </c>
      <c r="J69" s="314"/>
      <c r="K69" s="90" t="s">
        <v>119</v>
      </c>
      <c r="L69" s="90">
        <f>'Плановые затраты ОХН'!C37/'Общее полезное время'!E$6</f>
        <v>1.6568387013571933E-4</v>
      </c>
      <c r="M69" s="314"/>
      <c r="N69" s="90" t="s">
        <v>119</v>
      </c>
      <c r="O69" s="90">
        <f>'Плановые затраты ОХН'!C37/'Общее полезное время'!E$7</f>
        <v>2.130221150847304E-4</v>
      </c>
      <c r="P69" s="110"/>
    </row>
    <row r="70" spans="1:16" ht="25.5" x14ac:dyDescent="0.25">
      <c r="A70" s="90" t="s">
        <v>82</v>
      </c>
      <c r="B70" s="90" t="s">
        <v>120</v>
      </c>
      <c r="C70" s="90">
        <f>'Плановые затраты ОХН'!C38/'Общее полезное время'!E$3</f>
        <v>0</v>
      </c>
      <c r="D70" s="314"/>
      <c r="E70" s="90" t="s">
        <v>120</v>
      </c>
      <c r="F70" s="90">
        <f>'Плановые затраты ОХН'!C38/'Общее полезное время'!E$4</f>
        <v>0</v>
      </c>
      <c r="G70" s="314"/>
      <c r="H70" s="90" t="s">
        <v>120</v>
      </c>
      <c r="I70" s="90">
        <f>'Плановые затраты ОХН'!C38/'Общее полезное время'!E$5</f>
        <v>0</v>
      </c>
      <c r="J70" s="314"/>
      <c r="K70" s="90" t="s">
        <v>120</v>
      </c>
      <c r="L70" s="90">
        <f>'Плановые затраты ОХН'!C38/'Общее полезное время'!E$6</f>
        <v>0</v>
      </c>
      <c r="M70" s="314"/>
      <c r="N70" s="90" t="s">
        <v>120</v>
      </c>
      <c r="O70" s="90">
        <f>'Плановые затраты ОХН'!C38/'Общее полезное время'!E$7</f>
        <v>0</v>
      </c>
      <c r="P70" s="110"/>
    </row>
    <row r="71" spans="1:16" ht="25.5" x14ac:dyDescent="0.25">
      <c r="A71" s="90" t="s">
        <v>83</v>
      </c>
      <c r="B71" s="90" t="s">
        <v>121</v>
      </c>
      <c r="C71" s="90">
        <f>'Плановые затраты ОХН'!C39/'Общее полезное время'!E$3</f>
        <v>0</v>
      </c>
      <c r="D71" s="313"/>
      <c r="E71" s="90" t="s">
        <v>121</v>
      </c>
      <c r="F71" s="90">
        <f>'Плановые затраты ОХН'!C39/'Общее полезное время'!E$4</f>
        <v>0</v>
      </c>
      <c r="G71" s="313"/>
      <c r="H71" s="90" t="s">
        <v>121</v>
      </c>
      <c r="I71" s="90">
        <f>'Плановые затраты ОХН'!C39/'Общее полезное время'!E$5</f>
        <v>0</v>
      </c>
      <c r="J71" s="313"/>
      <c r="K71" s="90" t="s">
        <v>121</v>
      </c>
      <c r="L71" s="90">
        <f>'Плановые затраты ОХН'!C39/'Общее полезное время'!E$6</f>
        <v>0</v>
      </c>
      <c r="M71" s="313"/>
      <c r="N71" s="90" t="s">
        <v>121</v>
      </c>
      <c r="O71" s="90">
        <f>'Плановые затраты ОХН'!C39/'Общее полезное время'!E$7</f>
        <v>0</v>
      </c>
      <c r="P71" s="110"/>
    </row>
    <row r="72" spans="1:16" x14ac:dyDescent="0.25">
      <c r="A72" s="309" t="s">
        <v>163</v>
      </c>
      <c r="B72" s="309"/>
      <c r="C72" s="309"/>
      <c r="D72" s="309"/>
      <c r="E72" s="96"/>
      <c r="F72" s="120"/>
      <c r="G72" s="96"/>
      <c r="H72" s="96"/>
      <c r="I72" s="96"/>
      <c r="J72" s="96"/>
      <c r="K72" s="96"/>
      <c r="L72" s="96"/>
      <c r="M72" s="96"/>
      <c r="N72" s="96"/>
      <c r="O72" s="96"/>
      <c r="P72" s="96"/>
    </row>
    <row r="73" spans="1:16" ht="25.5" x14ac:dyDescent="0.25">
      <c r="A73" s="90" t="s">
        <v>86</v>
      </c>
      <c r="B73" s="90" t="s">
        <v>122</v>
      </c>
      <c r="C73" s="90">
        <f>'Плановые затраты ОХН'!C42/'Общее полезное время'!E$3</f>
        <v>0</v>
      </c>
      <c r="D73" s="312" t="s">
        <v>204</v>
      </c>
      <c r="E73" s="90" t="s">
        <v>122</v>
      </c>
      <c r="F73" s="90">
        <f>'Плановые затраты ОХН'!C42/'Общее полезное время'!E$4</f>
        <v>0</v>
      </c>
      <c r="G73" s="312" t="s">
        <v>204</v>
      </c>
      <c r="H73" s="90" t="s">
        <v>122</v>
      </c>
      <c r="I73" s="90">
        <f>'Плановые затраты ОХН'!C42/'Общее полезное время'!E$5</f>
        <v>0</v>
      </c>
      <c r="J73" s="312" t="s">
        <v>204</v>
      </c>
      <c r="K73" s="90" t="s">
        <v>122</v>
      </c>
      <c r="L73" s="90">
        <f>'Плановые затраты ОХН'!C42/'Общее полезное время'!E$6</f>
        <v>0</v>
      </c>
      <c r="M73" s="312" t="s">
        <v>204</v>
      </c>
      <c r="N73" s="90" t="s">
        <v>122</v>
      </c>
      <c r="O73" s="90">
        <f>'Плановые затраты ОХН'!C42/'Общее полезное время'!E$7</f>
        <v>0</v>
      </c>
      <c r="P73" s="110"/>
    </row>
    <row r="74" spans="1:16" ht="51" x14ac:dyDescent="0.25">
      <c r="A74" s="90" t="s">
        <v>87</v>
      </c>
      <c r="B74" s="90" t="s">
        <v>123</v>
      </c>
      <c r="C74" s="90">
        <f>'Плановые затраты ОХН'!C43/'Общее полезное время'!E$3</f>
        <v>0</v>
      </c>
      <c r="D74" s="314"/>
      <c r="E74" s="90" t="s">
        <v>123</v>
      </c>
      <c r="F74" s="90">
        <f>'Плановые затраты ОХН'!C43/'Общее полезное время'!E$4</f>
        <v>0</v>
      </c>
      <c r="G74" s="314"/>
      <c r="H74" s="90" t="s">
        <v>123</v>
      </c>
      <c r="I74" s="90">
        <f>'Плановые затраты ОХН'!C43/'Общее полезное время'!E$5</f>
        <v>0</v>
      </c>
      <c r="J74" s="314"/>
      <c r="K74" s="90" t="s">
        <v>123</v>
      </c>
      <c r="L74" s="90">
        <f>'Плановые затраты ОХН'!C43/'Общее полезное время'!E$6</f>
        <v>0</v>
      </c>
      <c r="M74" s="314"/>
      <c r="N74" s="90" t="s">
        <v>123</v>
      </c>
      <c r="O74" s="90">
        <f>'Плановые затраты ОХН'!C43/'Общее полезное время'!E$7</f>
        <v>0</v>
      </c>
      <c r="P74" s="110"/>
    </row>
    <row r="75" spans="1:16" ht="38.25" x14ac:dyDescent="0.25">
      <c r="A75" s="90" t="s">
        <v>88</v>
      </c>
      <c r="B75" s="90" t="s">
        <v>124</v>
      </c>
      <c r="C75" s="90">
        <f>'Плановые затраты ОХН'!C44/'Общее полезное время'!E$3</f>
        <v>0</v>
      </c>
      <c r="D75" s="314"/>
      <c r="E75" s="90" t="s">
        <v>124</v>
      </c>
      <c r="F75" s="90">
        <f>'Плановые затраты ОХН'!C44/'Общее полезное время'!E$4</f>
        <v>0</v>
      </c>
      <c r="G75" s="314"/>
      <c r="H75" s="90" t="s">
        <v>124</v>
      </c>
      <c r="I75" s="90">
        <f>'Плановые затраты ОХН'!C44/'Общее полезное время'!E$5</f>
        <v>0</v>
      </c>
      <c r="J75" s="314"/>
      <c r="K75" s="90" t="s">
        <v>124</v>
      </c>
      <c r="L75" s="90">
        <f>'Плановые затраты ОХН'!C44/'Общее полезное время'!E$6</f>
        <v>0</v>
      </c>
      <c r="M75" s="314"/>
      <c r="N75" s="90" t="s">
        <v>124</v>
      </c>
      <c r="O75" s="90">
        <f>'Плановые затраты ОХН'!C44/'Общее полезное время'!E$7</f>
        <v>0</v>
      </c>
      <c r="P75" s="110"/>
    </row>
    <row r="76" spans="1:16" ht="76.5" x14ac:dyDescent="0.25">
      <c r="A76" s="90" t="s">
        <v>89</v>
      </c>
      <c r="B76" s="90" t="s">
        <v>125</v>
      </c>
      <c r="C76" s="90">
        <f>'Плановые затраты ОХН'!C45/'Общее полезное время'!E$3</f>
        <v>0</v>
      </c>
      <c r="D76" s="313"/>
      <c r="E76" s="90" t="s">
        <v>125</v>
      </c>
      <c r="F76" s="90">
        <f>'Плановые затраты ОХН'!C45/'Общее полезное время'!E$4</f>
        <v>0</v>
      </c>
      <c r="G76" s="313"/>
      <c r="H76" s="90" t="s">
        <v>125</v>
      </c>
      <c r="I76" s="90">
        <f>'Плановые затраты ОХН'!C45/'Общее полезное время'!E$5</f>
        <v>0</v>
      </c>
      <c r="J76" s="313"/>
      <c r="K76" s="90" t="s">
        <v>125</v>
      </c>
      <c r="L76" s="90">
        <f>'Плановые затраты ОХН'!C45/'Общее полезное время'!E$6</f>
        <v>0</v>
      </c>
      <c r="M76" s="313"/>
      <c r="N76" s="90" t="s">
        <v>125</v>
      </c>
      <c r="O76" s="90">
        <f>'Плановые затраты ОХН'!C45/'Общее полезное время'!E$7</f>
        <v>0</v>
      </c>
      <c r="P76" s="110"/>
    </row>
    <row r="77" spans="1:16" x14ac:dyDescent="0.25">
      <c r="A77" s="309" t="s">
        <v>164</v>
      </c>
      <c r="B77" s="309"/>
      <c r="C77" s="309"/>
      <c r="D77" s="309"/>
      <c r="E77" s="96"/>
      <c r="F77" s="120"/>
      <c r="G77" s="96"/>
      <c r="H77" s="96"/>
      <c r="I77" s="96"/>
      <c r="J77" s="96"/>
      <c r="K77" s="96"/>
      <c r="L77" s="96"/>
      <c r="M77" s="96"/>
      <c r="N77" s="96"/>
      <c r="O77" s="96"/>
      <c r="P77" s="96"/>
    </row>
    <row r="78" spans="1:16" ht="51" customHeight="1" x14ac:dyDescent="0.25">
      <c r="A78" s="89" t="s">
        <v>92</v>
      </c>
      <c r="B78" s="90" t="s">
        <v>126</v>
      </c>
      <c r="C78" s="123">
        <f>НОРМАТИВ!K4</f>
        <v>38314.503574794522</v>
      </c>
      <c r="D78" s="97" t="s">
        <v>132</v>
      </c>
      <c r="E78" s="90" t="s">
        <v>126</v>
      </c>
      <c r="F78" s="124">
        <f>НОРМАТИВ!K5</f>
        <v>23305.260721420596</v>
      </c>
      <c r="G78" s="97" t="s">
        <v>132</v>
      </c>
      <c r="H78" s="90" t="s">
        <v>126</v>
      </c>
      <c r="I78" s="123">
        <f>НОРМАТИВ!K6</f>
        <v>9824.2316858447502</v>
      </c>
      <c r="J78" s="97" t="s">
        <v>132</v>
      </c>
      <c r="K78" s="90" t="s">
        <v>126</v>
      </c>
      <c r="L78" s="123">
        <f>НОРМАТИВ!K7</f>
        <v>4093.429869101979</v>
      </c>
      <c r="M78" s="97" t="s">
        <v>132</v>
      </c>
      <c r="N78" s="96" t="s">
        <v>126</v>
      </c>
      <c r="O78" s="123">
        <f>НОРМАТИВ!K8</f>
        <v>3508.6541132130174</v>
      </c>
      <c r="P78" s="97"/>
    </row>
    <row r="79" spans="1:16" s="119" customFormat="1" x14ac:dyDescent="0.25">
      <c r="A79" s="309" t="s">
        <v>165</v>
      </c>
      <c r="B79" s="309"/>
      <c r="C79" s="309"/>
      <c r="D79" s="309"/>
      <c r="E79" s="122"/>
      <c r="F79" s="120"/>
      <c r="G79" s="122"/>
      <c r="H79" s="122"/>
      <c r="I79" s="122"/>
      <c r="J79" s="122"/>
      <c r="K79" s="122"/>
      <c r="L79" s="122"/>
      <c r="M79" s="122"/>
      <c r="N79" s="122"/>
      <c r="O79" s="122"/>
      <c r="P79" s="122"/>
    </row>
    <row r="80" spans="1:16" x14ac:dyDescent="0.25">
      <c r="A80" s="110"/>
      <c r="B80" s="110"/>
      <c r="C80" s="90"/>
      <c r="D80" s="110"/>
      <c r="E80" s="110"/>
      <c r="F80" s="94"/>
      <c r="G80" s="110"/>
      <c r="H80" s="110"/>
      <c r="I80" s="110"/>
      <c r="J80" s="110"/>
      <c r="K80" s="110"/>
      <c r="L80" s="110"/>
      <c r="M80" s="110"/>
      <c r="N80" s="110"/>
      <c r="O80" s="110"/>
      <c r="P80" s="110"/>
    </row>
    <row r="81" spans="1:16" x14ac:dyDescent="0.25">
      <c r="A81" s="111"/>
      <c r="B81" s="111"/>
      <c r="C81" s="98"/>
      <c r="D81" s="111"/>
      <c r="E81" s="111"/>
      <c r="F81" s="99"/>
      <c r="G81" s="111"/>
      <c r="H81" s="111"/>
      <c r="I81" s="111"/>
      <c r="J81" s="111"/>
      <c r="K81" s="111"/>
      <c r="L81" s="111"/>
      <c r="M81" s="111"/>
      <c r="N81" s="111"/>
      <c r="O81" s="111"/>
      <c r="P81" s="111"/>
    </row>
    <row r="82" spans="1:16" x14ac:dyDescent="0.25">
      <c r="A82" s="111"/>
      <c r="B82" s="111"/>
      <c r="C82" s="98"/>
      <c r="D82" s="111"/>
      <c r="E82" s="111"/>
      <c r="F82" s="99"/>
      <c r="G82" s="111"/>
      <c r="H82" s="111"/>
      <c r="I82" s="111"/>
      <c r="J82" s="111"/>
      <c r="K82" s="111"/>
      <c r="L82" s="111"/>
      <c r="M82" s="111"/>
      <c r="N82" s="111"/>
      <c r="O82" s="111"/>
      <c r="P82" s="111"/>
    </row>
    <row r="83" spans="1:16" x14ac:dyDescent="0.25">
      <c r="A83" s="310" t="s">
        <v>97</v>
      </c>
      <c r="B83" s="310"/>
      <c r="C83" s="310"/>
      <c r="D83" s="310"/>
      <c r="E83" s="118"/>
      <c r="G83" s="118"/>
      <c r="H83" s="118"/>
      <c r="I83" s="118"/>
      <c r="J83" s="118"/>
      <c r="K83" s="118"/>
      <c r="L83" s="118"/>
      <c r="M83" s="118"/>
      <c r="N83" s="118"/>
      <c r="O83" s="118"/>
      <c r="P83" s="118"/>
    </row>
  </sheetData>
  <mergeCells count="50">
    <mergeCell ref="G39:G44"/>
    <mergeCell ref="J39:J44"/>
    <mergeCell ref="M39:M44"/>
    <mergeCell ref="G56:G64"/>
    <mergeCell ref="J56:J64"/>
    <mergeCell ref="M56:M64"/>
    <mergeCell ref="G46:G54"/>
    <mergeCell ref="J46:J54"/>
    <mergeCell ref="M46:M54"/>
    <mergeCell ref="G73:G76"/>
    <mergeCell ref="J73:J76"/>
    <mergeCell ref="M73:M76"/>
    <mergeCell ref="G66:G71"/>
    <mergeCell ref="J66:J71"/>
    <mergeCell ref="M66:M71"/>
    <mergeCell ref="D8:D32"/>
    <mergeCell ref="G8:G32"/>
    <mergeCell ref="J8:J32"/>
    <mergeCell ref="M8:M32"/>
    <mergeCell ref="D34:D36"/>
    <mergeCell ref="G34:G36"/>
    <mergeCell ref="J34:J36"/>
    <mergeCell ref="M34:M36"/>
    <mergeCell ref="A72:D72"/>
    <mergeCell ref="A77:D77"/>
    <mergeCell ref="A79:D79"/>
    <mergeCell ref="A83:D83"/>
    <mergeCell ref="A33:D33"/>
    <mergeCell ref="A37:D37"/>
    <mergeCell ref="A38:D38"/>
    <mergeCell ref="A45:D45"/>
    <mergeCell ref="A55:D55"/>
    <mergeCell ref="A65:D65"/>
    <mergeCell ref="D39:D44"/>
    <mergeCell ref="D46:D54"/>
    <mergeCell ref="D56:D64"/>
    <mergeCell ref="D66:D71"/>
    <mergeCell ref="D73:D76"/>
    <mergeCell ref="N1:P1"/>
    <mergeCell ref="A4:D4"/>
    <mergeCell ref="A3:D3"/>
    <mergeCell ref="B1:D1"/>
    <mergeCell ref="A7:D7"/>
    <mergeCell ref="E1:G1"/>
    <mergeCell ref="H1:J1"/>
    <mergeCell ref="K1:M1"/>
    <mergeCell ref="D5:D6"/>
    <mergeCell ref="G5:G6"/>
    <mergeCell ref="J5:J6"/>
    <mergeCell ref="M5:M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Оплата труда</vt:lpstr>
      <vt:lpstr>Материальные запасы</vt:lpstr>
      <vt:lpstr>Иные нормативные затраты</vt:lpstr>
      <vt:lpstr>ПРЯМЫЕ ЗАТРАТЫ</vt:lpstr>
      <vt:lpstr>Плановые затраты ОХН</vt:lpstr>
      <vt:lpstr>Общее полезное время</vt:lpstr>
      <vt:lpstr>ОХН РАСЧЕТ</vt:lpstr>
      <vt:lpstr>НОРМАТИВ</vt:lpstr>
      <vt:lpstr>НОРМЫ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2015-10-26T13:17:21Z</dcterms:modified>
</cp:coreProperties>
</file>